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ZNA\Users\Public\Public\2021\ФІНПЛАН\ЗВІТ ЗА 9 МІСЯЦІВ\"/>
    </mc:Choice>
  </mc:AlternateContent>
  <bookViews>
    <workbookView xWindow="0" yWindow="0" windowWidth="28800" windowHeight="12300" tabRatio="838" activeTab="4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4">'Розшифровка за джерелами'!$4:$6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Формування'!$A$1:$H$155</definedName>
    <definedName name="_xlnm.Print_Area" localSheetId="2">'Розшифровка 2 до формування'!$A$1:$H$427</definedName>
    <definedName name="_xlnm.Print_Area" localSheetId="4">'Розшифровка за джерелами'!$A$1:$P$75</definedName>
    <definedName name="_xlnm.Print_Area" localSheetId="3">'Розшифровка кап'!$A$1:$G$138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E7" i="22" l="1"/>
  <c r="F7" i="22"/>
  <c r="D7" i="22"/>
  <c r="E12" i="22"/>
  <c r="F12" i="22"/>
  <c r="D12" i="22"/>
  <c r="D33" i="22"/>
  <c r="M26" i="26"/>
  <c r="N26" i="26"/>
  <c r="M25" i="26"/>
  <c r="N25" i="26"/>
  <c r="M27" i="26"/>
  <c r="N27" i="26"/>
  <c r="L27" i="26"/>
  <c r="L26" i="26"/>
  <c r="L25" i="26"/>
  <c r="M20" i="26"/>
  <c r="M19" i="26"/>
  <c r="L20" i="26"/>
  <c r="L19" i="26"/>
  <c r="L18" i="26"/>
  <c r="M13" i="26"/>
  <c r="M33" i="26" s="1"/>
  <c r="M12" i="26"/>
  <c r="M32" i="26" s="1"/>
  <c r="M11" i="26"/>
  <c r="L13" i="26"/>
  <c r="L33" i="26" s="1"/>
  <c r="F318" i="26" l="1"/>
  <c r="D298" i="26" l="1"/>
  <c r="D297" i="26" s="1"/>
  <c r="D295" i="26" s="1"/>
  <c r="E298" i="26"/>
  <c r="E297" i="26" s="1"/>
  <c r="E295" i="26" s="1"/>
  <c r="D263" i="26"/>
  <c r="D269" i="26"/>
  <c r="F298" i="26"/>
  <c r="F297" i="26" s="1"/>
  <c r="F295" i="26" s="1"/>
  <c r="F265" i="26"/>
  <c r="F263" i="26"/>
  <c r="F264" i="26"/>
  <c r="F267" i="26"/>
  <c r="F164" i="26" l="1"/>
  <c r="F58" i="26"/>
  <c r="D392" i="26" l="1"/>
  <c r="D391" i="26" s="1"/>
  <c r="D389" i="26" s="1"/>
  <c r="D360" i="26"/>
  <c r="D213" i="26"/>
  <c r="D205" i="26"/>
  <c r="D204" i="26" s="1"/>
  <c r="D170" i="26"/>
  <c r="D16" i="26"/>
  <c r="L12" i="26" s="1"/>
  <c r="L32" i="26" s="1"/>
  <c r="D15" i="26"/>
  <c r="L11" i="26" s="1"/>
  <c r="L31" i="26" s="1"/>
  <c r="D47" i="26"/>
  <c r="G24" i="22"/>
  <c r="D81" i="14"/>
  <c r="D202" i="26" l="1"/>
  <c r="D10" i="26"/>
  <c r="D18" i="26"/>
  <c r="D43" i="26"/>
  <c r="D9" i="26" l="1"/>
  <c r="H59" i="14"/>
  <c r="G59" i="14"/>
  <c r="F7" i="9"/>
  <c r="G7" i="9"/>
  <c r="H7" i="9"/>
  <c r="I7" i="9"/>
  <c r="J7" i="9"/>
  <c r="K7" i="9"/>
  <c r="E7" i="9"/>
  <c r="E94" i="14" l="1"/>
  <c r="E95" i="14"/>
  <c r="E96" i="14"/>
  <c r="H82" i="14"/>
  <c r="H87" i="14"/>
  <c r="G82" i="14"/>
  <c r="G83" i="14"/>
  <c r="H83" i="14" s="1"/>
  <c r="G84" i="14"/>
  <c r="H84" i="14" s="1"/>
  <c r="G86" i="14"/>
  <c r="H86" i="14" s="1"/>
  <c r="G87" i="14"/>
  <c r="G88" i="14"/>
  <c r="H88" i="14" s="1"/>
  <c r="E26" i="22"/>
  <c r="F26" i="22"/>
  <c r="D26" i="22"/>
  <c r="E28" i="22"/>
  <c r="E6" i="22" s="1"/>
  <c r="F28" i="22"/>
  <c r="D28" i="22"/>
  <c r="H22" i="22"/>
  <c r="G403" i="26"/>
  <c r="D149" i="26"/>
  <c r="D147" i="26" s="1"/>
  <c r="F6" i="22" l="1"/>
  <c r="D6" i="22"/>
  <c r="F92" i="14"/>
  <c r="G92" i="14" s="1"/>
  <c r="H92" i="14" s="1"/>
  <c r="F91" i="14"/>
  <c r="G91" i="14" s="1"/>
  <c r="H91" i="14" s="1"/>
  <c r="F90" i="14"/>
  <c r="F81" i="14"/>
  <c r="D112" i="26"/>
  <c r="H150" i="22"/>
  <c r="G150" i="22"/>
  <c r="G149" i="22"/>
  <c r="G148" i="22"/>
  <c r="G147" i="22"/>
  <c r="G146" i="22"/>
  <c r="G145" i="22"/>
  <c r="H144" i="22"/>
  <c r="G144" i="22"/>
  <c r="H143" i="22"/>
  <c r="G143" i="22"/>
  <c r="H142" i="22"/>
  <c r="G142" i="22"/>
  <c r="H141" i="22"/>
  <c r="G141" i="22"/>
  <c r="H140" i="22"/>
  <c r="G140" i="22"/>
  <c r="G139" i="22"/>
  <c r="G138" i="22"/>
  <c r="H137" i="22"/>
  <c r="G137" i="22"/>
  <c r="G136" i="22"/>
  <c r="H135" i="22"/>
  <c r="G135" i="22"/>
  <c r="G134" i="22"/>
  <c r="H133" i="22"/>
  <c r="G133" i="22"/>
  <c r="H132" i="22"/>
  <c r="G132" i="22"/>
  <c r="G131" i="22"/>
  <c r="G130" i="22"/>
  <c r="G128" i="22"/>
  <c r="G127" i="22"/>
  <c r="G126" i="22"/>
  <c r="G125" i="22"/>
  <c r="G124" i="22"/>
  <c r="G123" i="22"/>
  <c r="G122" i="22"/>
  <c r="H119" i="22"/>
  <c r="G119" i="22"/>
  <c r="G118" i="22"/>
  <c r="H117" i="22"/>
  <c r="G117" i="22"/>
  <c r="G116" i="22"/>
  <c r="H115" i="22"/>
  <c r="G115" i="22"/>
  <c r="G114" i="22"/>
  <c r="G113" i="22"/>
  <c r="G112" i="22"/>
  <c r="H111" i="22"/>
  <c r="G111" i="22"/>
  <c r="G110" i="22"/>
  <c r="H109" i="22"/>
  <c r="G109" i="22"/>
  <c r="H108" i="22"/>
  <c r="G108" i="22"/>
  <c r="H107" i="22"/>
  <c r="G107" i="22"/>
  <c r="H106" i="22"/>
  <c r="G106" i="22"/>
  <c r="G105" i="22"/>
  <c r="H104" i="22"/>
  <c r="G104" i="22"/>
  <c r="H103" i="22"/>
  <c r="G103" i="22"/>
  <c r="H102" i="22"/>
  <c r="G102" i="22"/>
  <c r="G101" i="22"/>
  <c r="H100" i="22"/>
  <c r="G100" i="22"/>
  <c r="G99" i="22"/>
  <c r="G98" i="22"/>
  <c r="H97" i="22"/>
  <c r="G97" i="22"/>
  <c r="H96" i="22"/>
  <c r="G96" i="22"/>
  <c r="G95" i="22"/>
  <c r="G93" i="22"/>
  <c r="G92" i="22"/>
  <c r="H91" i="22"/>
  <c r="G91" i="22"/>
  <c r="H89" i="22"/>
  <c r="G89" i="22"/>
  <c r="G88" i="22"/>
  <c r="H85" i="22"/>
  <c r="G85" i="22"/>
  <c r="G84" i="22"/>
  <c r="G83" i="22"/>
  <c r="G82" i="22"/>
  <c r="G81" i="22"/>
  <c r="H80" i="22"/>
  <c r="G80" i="22"/>
  <c r="H79" i="22"/>
  <c r="G79" i="22"/>
  <c r="H78" i="22"/>
  <c r="G78" i="22"/>
  <c r="H77" i="22"/>
  <c r="G77" i="22"/>
  <c r="H76" i="22"/>
  <c r="G76" i="22"/>
  <c r="H75" i="22"/>
  <c r="G75" i="22"/>
  <c r="H74" i="22"/>
  <c r="G74" i="22"/>
  <c r="G73" i="22"/>
  <c r="H8" i="22"/>
  <c r="G8" i="22"/>
  <c r="H11" i="22"/>
  <c r="G11" i="22"/>
  <c r="H10" i="22"/>
  <c r="G10" i="22"/>
  <c r="G22" i="22"/>
  <c r="H21" i="22"/>
  <c r="G21" i="22"/>
  <c r="G20" i="22"/>
  <c r="H19" i="22"/>
  <c r="G19" i="22"/>
  <c r="G18" i="22"/>
  <c r="H16" i="22"/>
  <c r="G16" i="22"/>
  <c r="H15" i="22"/>
  <c r="G15" i="22"/>
  <c r="G13" i="22"/>
  <c r="G30" i="22"/>
  <c r="G29" i="22"/>
  <c r="G52" i="22"/>
  <c r="H51" i="22"/>
  <c r="G51" i="22"/>
  <c r="H50" i="22"/>
  <c r="G50" i="22"/>
  <c r="H49" i="22"/>
  <c r="G49" i="22"/>
  <c r="H48" i="22"/>
  <c r="G48" i="22"/>
  <c r="H47" i="22"/>
  <c r="G47" i="22"/>
  <c r="H46" i="22"/>
  <c r="G46" i="22"/>
  <c r="H45" i="22"/>
  <c r="G45" i="22"/>
  <c r="H43" i="22"/>
  <c r="G43" i="22"/>
  <c r="H42" i="22"/>
  <c r="G42" i="22"/>
  <c r="H41" i="22"/>
  <c r="G41" i="22"/>
  <c r="G40" i="22"/>
  <c r="G39" i="22"/>
  <c r="G38" i="22"/>
  <c r="H37" i="22"/>
  <c r="G37" i="22"/>
  <c r="H36" i="22"/>
  <c r="G36" i="22"/>
  <c r="H35" i="22"/>
  <c r="G35" i="22"/>
  <c r="H34" i="22"/>
  <c r="G34" i="22"/>
  <c r="H71" i="22"/>
  <c r="G71" i="22"/>
  <c r="G70" i="22"/>
  <c r="H69" i="22"/>
  <c r="G69" i="22"/>
  <c r="G68" i="22"/>
  <c r="H67" i="22"/>
  <c r="G67" i="22"/>
  <c r="H66" i="22"/>
  <c r="G66" i="22"/>
  <c r="H65" i="22"/>
  <c r="G65" i="22"/>
  <c r="H64" i="22"/>
  <c r="G64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6" i="22"/>
  <c r="G56" i="22"/>
  <c r="H55" i="22"/>
  <c r="G55" i="22"/>
  <c r="H54" i="22"/>
  <c r="G54" i="22"/>
  <c r="D54" i="22"/>
  <c r="F94" i="14" l="1"/>
  <c r="G94" i="14" s="1"/>
  <c r="H94" i="14" s="1"/>
  <c r="G90" i="14"/>
  <c r="H90" i="14" s="1"/>
  <c r="G424" i="26"/>
  <c r="G421" i="26"/>
  <c r="G412" i="26"/>
  <c r="G407" i="26"/>
  <c r="H402" i="26"/>
  <c r="G402" i="26"/>
  <c r="G399" i="26"/>
  <c r="H398" i="26"/>
  <c r="G398" i="26"/>
  <c r="G386" i="26"/>
  <c r="G385" i="26"/>
  <c r="G384" i="26"/>
  <c r="G383" i="26"/>
  <c r="G382" i="26"/>
  <c r="G380" i="26"/>
  <c r="G379" i="26"/>
  <c r="G376" i="26"/>
  <c r="G375" i="26"/>
  <c r="G373" i="26"/>
  <c r="G368" i="26"/>
  <c r="G365" i="26"/>
  <c r="G364" i="26"/>
  <c r="G362" i="26"/>
  <c r="G361" i="26"/>
  <c r="G360" i="26"/>
  <c r="G359" i="26"/>
  <c r="G351" i="26"/>
  <c r="G348" i="26"/>
  <c r="G343" i="26"/>
  <c r="G337" i="26"/>
  <c r="G336" i="26"/>
  <c r="G335" i="26"/>
  <c r="G334" i="26"/>
  <c r="G332" i="26"/>
  <c r="G328" i="26"/>
  <c r="G327" i="26"/>
  <c r="G326" i="26"/>
  <c r="G321" i="26"/>
  <c r="G313" i="26"/>
  <c r="G293" i="26"/>
  <c r="G292" i="26"/>
  <c r="G290" i="26"/>
  <c r="G280" i="26"/>
  <c r="G279" i="26"/>
  <c r="G274" i="26"/>
  <c r="G272" i="26"/>
  <c r="H271" i="26"/>
  <c r="G271" i="26"/>
  <c r="H270" i="26"/>
  <c r="G270" i="26"/>
  <c r="G268" i="26"/>
  <c r="G267" i="26"/>
  <c r="G266" i="26"/>
  <c r="H265" i="26"/>
  <c r="G265" i="26"/>
  <c r="H264" i="26"/>
  <c r="G264" i="26"/>
  <c r="H263" i="26"/>
  <c r="G263" i="26"/>
  <c r="H258" i="26"/>
  <c r="G258" i="26"/>
  <c r="G253" i="26"/>
  <c r="G250" i="26"/>
  <c r="G249" i="26"/>
  <c r="G242" i="26"/>
  <c r="G241" i="26"/>
  <c r="G240" i="26"/>
  <c r="G239" i="26"/>
  <c r="G238" i="26"/>
  <c r="G237" i="26"/>
  <c r="G236" i="26"/>
  <c r="G235" i="26"/>
  <c r="G234" i="26"/>
  <c r="G233" i="26"/>
  <c r="G232" i="26"/>
  <c r="G231" i="26"/>
  <c r="G230" i="26"/>
  <c r="G229" i="26"/>
  <c r="G228" i="26"/>
  <c r="G227" i="26"/>
  <c r="G226" i="26"/>
  <c r="G225" i="26"/>
  <c r="G224" i="26"/>
  <c r="G221" i="26"/>
  <c r="G220" i="26"/>
  <c r="G219" i="26"/>
  <c r="G218" i="26"/>
  <c r="G217" i="26"/>
  <c r="G216" i="26"/>
  <c r="G215" i="26"/>
  <c r="G214" i="26"/>
  <c r="G213" i="26"/>
  <c r="G212" i="26"/>
  <c r="G211" i="26"/>
  <c r="G210" i="26"/>
  <c r="G209" i="26"/>
  <c r="H200" i="26"/>
  <c r="G200" i="26"/>
  <c r="G198" i="26"/>
  <c r="G196" i="26"/>
  <c r="G195" i="26"/>
  <c r="G194" i="26"/>
  <c r="G191" i="26"/>
  <c r="H188" i="26"/>
  <c r="G188" i="26"/>
  <c r="G183" i="26"/>
  <c r="G182" i="26"/>
  <c r="G181" i="26"/>
  <c r="G180" i="26"/>
  <c r="G177" i="26"/>
  <c r="G176" i="26"/>
  <c r="G178" i="26"/>
  <c r="G172" i="26"/>
  <c r="G170" i="26"/>
  <c r="G169" i="26"/>
  <c r="G168" i="26"/>
  <c r="H165" i="26"/>
  <c r="G165" i="26"/>
  <c r="H164" i="26"/>
  <c r="G164" i="26"/>
  <c r="H163" i="26"/>
  <c r="G163" i="26"/>
  <c r="H162" i="26"/>
  <c r="G162" i="26"/>
  <c r="G166" i="26"/>
  <c r="G157" i="26"/>
  <c r="H156" i="26"/>
  <c r="G156" i="26"/>
  <c r="G155" i="26"/>
  <c r="G154" i="26"/>
  <c r="G153" i="26"/>
  <c r="G152" i="26"/>
  <c r="G151" i="26"/>
  <c r="G150" i="26"/>
  <c r="G148" i="26"/>
  <c r="G146" i="26"/>
  <c r="G145" i="26"/>
  <c r="G144" i="26"/>
  <c r="G142" i="26"/>
  <c r="H138" i="26"/>
  <c r="G138" i="26"/>
  <c r="H136" i="26"/>
  <c r="G136" i="26"/>
  <c r="H135" i="26"/>
  <c r="G135" i="26"/>
  <c r="G134" i="26"/>
  <c r="H133" i="26"/>
  <c r="G133" i="26"/>
  <c r="H119" i="26"/>
  <c r="G119" i="26"/>
  <c r="H118" i="26"/>
  <c r="G118" i="26"/>
  <c r="G112" i="26"/>
  <c r="H109" i="26"/>
  <c r="G109" i="26"/>
  <c r="H105" i="26"/>
  <c r="G105" i="26"/>
  <c r="G103" i="26"/>
  <c r="G100" i="26"/>
  <c r="G98" i="26"/>
  <c r="H96" i="26"/>
  <c r="G96" i="26"/>
  <c r="H89" i="26"/>
  <c r="G89" i="26"/>
  <c r="G81" i="26"/>
  <c r="H80" i="26"/>
  <c r="G80" i="26"/>
  <c r="H76" i="26"/>
  <c r="G76" i="26"/>
  <c r="G75" i="26"/>
  <c r="G70" i="26"/>
  <c r="H68" i="26"/>
  <c r="G68" i="26"/>
  <c r="H67" i="26"/>
  <c r="G67" i="26"/>
  <c r="H66" i="26"/>
  <c r="G66" i="26"/>
  <c r="H65" i="26"/>
  <c r="G65" i="26"/>
  <c r="H62" i="26"/>
  <c r="G62" i="26"/>
  <c r="H61" i="26"/>
  <c r="G61" i="26"/>
  <c r="H60" i="26"/>
  <c r="G60" i="26"/>
  <c r="G56" i="26"/>
  <c r="G44" i="26"/>
  <c r="H42" i="26"/>
  <c r="G42" i="26"/>
  <c r="H41" i="26"/>
  <c r="G41" i="26"/>
  <c r="G40" i="26"/>
  <c r="H37" i="26"/>
  <c r="G37" i="26"/>
  <c r="H36" i="26"/>
  <c r="G36" i="26"/>
  <c r="H35" i="26"/>
  <c r="G35" i="26"/>
  <c r="G31" i="26"/>
  <c r="G27" i="26"/>
  <c r="H26" i="26"/>
  <c r="G26" i="26"/>
  <c r="H25" i="26"/>
  <c r="G25" i="26"/>
  <c r="H23" i="26"/>
  <c r="G23" i="26"/>
  <c r="H22" i="26"/>
  <c r="G22" i="26"/>
  <c r="H21" i="26"/>
  <c r="G21" i="26"/>
  <c r="H20" i="26"/>
  <c r="G20" i="26"/>
  <c r="H19" i="26"/>
  <c r="G19" i="26"/>
  <c r="H14" i="26"/>
  <c r="G14" i="26"/>
  <c r="H13" i="26"/>
  <c r="G13" i="26"/>
  <c r="H12" i="26"/>
  <c r="G12" i="26"/>
  <c r="H11" i="26"/>
  <c r="G11" i="26"/>
  <c r="D91" i="14" l="1"/>
  <c r="D92" i="14"/>
  <c r="D90" i="14"/>
  <c r="D94" i="14" s="1"/>
  <c r="F66" i="14"/>
  <c r="G66" i="14" s="1"/>
  <c r="F60" i="14"/>
  <c r="G60" i="14" s="1"/>
  <c r="F55" i="14"/>
  <c r="G55" i="14" s="1"/>
  <c r="F53" i="14"/>
  <c r="G53" i="14" s="1"/>
  <c r="D89" i="14"/>
  <c r="F73" i="14"/>
  <c r="G73" i="14" s="1"/>
  <c r="F72" i="14"/>
  <c r="F46" i="14"/>
  <c r="F47" i="14"/>
  <c r="F48" i="14"/>
  <c r="F49" i="14"/>
  <c r="F45" i="14"/>
  <c r="F320" i="26" l="1"/>
  <c r="F319" i="26"/>
  <c r="F325" i="26"/>
  <c r="F312" i="26"/>
  <c r="F308" i="26"/>
  <c r="F129" i="22"/>
  <c r="F90" i="22"/>
  <c r="F44" i="22"/>
  <c r="G90" i="22" l="1"/>
  <c r="H90" i="22"/>
  <c r="G23" i="22"/>
  <c r="H44" i="22"/>
  <c r="G44" i="22"/>
  <c r="G318" i="26"/>
  <c r="H318" i="26"/>
  <c r="G319" i="26"/>
  <c r="H319" i="26"/>
  <c r="H320" i="26"/>
  <c r="G320" i="26"/>
  <c r="G308" i="26"/>
  <c r="H308" i="26"/>
  <c r="F311" i="26"/>
  <c r="G312" i="26"/>
  <c r="F324" i="26"/>
  <c r="G325" i="26"/>
  <c r="F128" i="26"/>
  <c r="F95" i="26"/>
  <c r="F322" i="26" l="1"/>
  <c r="G324" i="26"/>
  <c r="G95" i="26"/>
  <c r="H95" i="26"/>
  <c r="G128" i="26"/>
  <c r="H128" i="26"/>
  <c r="G58" i="26"/>
  <c r="H58" i="26"/>
  <c r="F309" i="26"/>
  <c r="G309" i="26" s="1"/>
  <c r="G311" i="26"/>
  <c r="G322" i="26" l="1"/>
  <c r="G269" i="26"/>
  <c r="C95" i="14"/>
  <c r="C94" i="14"/>
  <c r="F262" i="26"/>
  <c r="F33" i="22"/>
  <c r="E129" i="22"/>
  <c r="F406" i="26"/>
  <c r="F411" i="26"/>
  <c r="F410" i="26" l="1"/>
  <c r="G411" i="26"/>
  <c r="F405" i="26"/>
  <c r="G406" i="26"/>
  <c r="F94" i="22"/>
  <c r="F87" i="22"/>
  <c r="E87" i="22"/>
  <c r="F53" i="22"/>
  <c r="E53" i="22"/>
  <c r="E33" i="22"/>
  <c r="G405" i="26" l="1"/>
  <c r="F408" i="26"/>
  <c r="G408" i="26" s="1"/>
  <c r="G410" i="26"/>
  <c r="F252" i="26" l="1"/>
  <c r="F420" i="26"/>
  <c r="F423" i="26"/>
  <c r="N20" i="26" s="1"/>
  <c r="F397" i="26"/>
  <c r="F350" i="26"/>
  <c r="F161" i="26"/>
  <c r="F149" i="26"/>
  <c r="F147" i="26" s="1"/>
  <c r="F143" i="26"/>
  <c r="F141" i="26"/>
  <c r="F34" i="26"/>
  <c r="F10" i="26"/>
  <c r="G141" i="26" l="1"/>
  <c r="G350" i="26"/>
  <c r="G423" i="26"/>
  <c r="G420" i="26"/>
  <c r="G252" i="26"/>
  <c r="F257" i="26" l="1"/>
  <c r="F24" i="26"/>
  <c r="F139" i="26"/>
  <c r="F277" i="26"/>
  <c r="F285" i="26"/>
  <c r="F275" i="26"/>
  <c r="F193" i="26"/>
  <c r="F140" i="26"/>
  <c r="F111" i="26"/>
  <c r="G257" i="26" l="1"/>
  <c r="H257" i="26"/>
  <c r="G275" i="26"/>
  <c r="H275" i="26"/>
  <c r="G285" i="26"/>
  <c r="H285" i="26"/>
  <c r="G139" i="26"/>
  <c r="H139" i="26"/>
  <c r="G277" i="26"/>
  <c r="H277" i="26"/>
  <c r="F18" i="26"/>
  <c r="G24" i="26"/>
  <c r="H24" i="26"/>
  <c r="F16" i="26"/>
  <c r="N12" i="26" s="1"/>
  <c r="F15" i="26"/>
  <c r="N11" i="26" s="1"/>
  <c r="G15" i="26" l="1"/>
  <c r="H15" i="26"/>
  <c r="G16" i="26"/>
  <c r="H16" i="26"/>
  <c r="E143" i="26"/>
  <c r="E140" i="26" l="1"/>
  <c r="G143" i="26"/>
  <c r="F30" i="26"/>
  <c r="G140" i="26" l="1"/>
  <c r="F54" i="26"/>
  <c r="F106" i="26"/>
  <c r="F57" i="26"/>
  <c r="F124" i="26"/>
  <c r="F126" i="26"/>
  <c r="F127" i="26"/>
  <c r="G124" i="26" l="1"/>
  <c r="H124" i="26"/>
  <c r="G54" i="26"/>
  <c r="H54" i="26"/>
  <c r="G127" i="26"/>
  <c r="H127" i="26"/>
  <c r="G126" i="26"/>
  <c r="H126" i="26"/>
  <c r="G57" i="26"/>
  <c r="H57" i="26"/>
  <c r="G106" i="26"/>
  <c r="H106" i="26"/>
  <c r="F369" i="26"/>
  <c r="G369" i="26" l="1"/>
  <c r="F137" i="26"/>
  <c r="F87" i="26"/>
  <c r="F85" i="26"/>
  <c r="F86" i="26"/>
  <c r="F84" i="26"/>
  <c r="F74" i="26"/>
  <c r="G87" i="26" l="1"/>
  <c r="H87" i="26"/>
  <c r="G137" i="26"/>
  <c r="H137" i="26"/>
  <c r="G86" i="26"/>
  <c r="H86" i="26"/>
  <c r="G85" i="26"/>
  <c r="G74" i="26"/>
  <c r="G84" i="26"/>
  <c r="H84" i="26"/>
  <c r="F115" i="26"/>
  <c r="F117" i="26"/>
  <c r="G117" i="26" l="1"/>
  <c r="H117" i="26"/>
  <c r="G115" i="26"/>
  <c r="F101" i="26"/>
  <c r="F187" i="26"/>
  <c r="F77" i="26"/>
  <c r="F69" i="26"/>
  <c r="F92" i="26"/>
  <c r="F71" i="26"/>
  <c r="F132" i="26"/>
  <c r="F72" i="26"/>
  <c r="G72" i="26" l="1"/>
  <c r="H72" i="26"/>
  <c r="G187" i="26"/>
  <c r="G132" i="26"/>
  <c r="H132" i="26"/>
  <c r="G101" i="26"/>
  <c r="H101" i="26"/>
  <c r="G71" i="26"/>
  <c r="H71" i="26"/>
  <c r="G92" i="26"/>
  <c r="H92" i="26"/>
  <c r="G69" i="26"/>
  <c r="H69" i="26"/>
  <c r="G77" i="26"/>
  <c r="H77" i="26"/>
  <c r="F278" i="26"/>
  <c r="F276" i="26"/>
  <c r="F287" i="26"/>
  <c r="F286" i="26"/>
  <c r="F284" i="26"/>
  <c r="H276" i="26" l="1"/>
  <c r="G276" i="26"/>
  <c r="G278" i="26"/>
  <c r="H278" i="26"/>
  <c r="H284" i="26"/>
  <c r="G284" i="26"/>
  <c r="G286" i="26"/>
  <c r="H286" i="26"/>
  <c r="H287" i="26"/>
  <c r="G287" i="26"/>
  <c r="F283" i="26"/>
  <c r="F273" i="26"/>
  <c r="F251" i="26"/>
  <c r="F282" i="26" l="1"/>
  <c r="G251" i="26"/>
  <c r="F248" i="26"/>
  <c r="F247" i="26"/>
  <c r="G247" i="26" l="1"/>
  <c r="G248" i="26"/>
  <c r="F246" i="26"/>
  <c r="D397" i="26"/>
  <c r="D396" i="26" s="1"/>
  <c r="D401" i="26"/>
  <c r="D400" i="26" s="1"/>
  <c r="F349" i="26"/>
  <c r="F346" i="26"/>
  <c r="F347" i="26"/>
  <c r="F340" i="26"/>
  <c r="F339" i="26"/>
  <c r="F341" i="26"/>
  <c r="F342" i="26"/>
  <c r="F333" i="26"/>
  <c r="G341" i="26" l="1"/>
  <c r="G339" i="26"/>
  <c r="G340" i="26"/>
  <c r="F245" i="26"/>
  <c r="F243" i="26" s="1"/>
  <c r="G246" i="26"/>
  <c r="G347" i="26"/>
  <c r="G333" i="26"/>
  <c r="G346" i="26"/>
  <c r="G342" i="26"/>
  <c r="G349" i="26"/>
  <c r="F331" i="26"/>
  <c r="F338" i="26"/>
  <c r="F345" i="26"/>
  <c r="D394" i="26"/>
  <c r="F344" i="26" l="1"/>
  <c r="G345" i="26"/>
  <c r="G331" i="26"/>
  <c r="G338" i="26"/>
  <c r="G243" i="26"/>
  <c r="G245" i="26"/>
  <c r="F330" i="26"/>
  <c r="F378" i="26"/>
  <c r="F381" i="26"/>
  <c r="F374" i="26"/>
  <c r="F372" i="26"/>
  <c r="F366" i="26"/>
  <c r="F356" i="26"/>
  <c r="F358" i="26"/>
  <c r="F357" i="26"/>
  <c r="G358" i="26" l="1"/>
  <c r="G378" i="26"/>
  <c r="G356" i="26"/>
  <c r="F329" i="26"/>
  <c r="G329" i="26" s="1"/>
  <c r="G330" i="26"/>
  <c r="G372" i="26"/>
  <c r="G374" i="26"/>
  <c r="G366" i="26"/>
  <c r="G357" i="26"/>
  <c r="G381" i="26"/>
  <c r="G344" i="26"/>
  <c r="F355" i="26"/>
  <c r="F371" i="26"/>
  <c r="F307" i="26"/>
  <c r="G6" i="22" l="1"/>
  <c r="F317" i="26"/>
  <c r="H6" i="22" l="1"/>
  <c r="F416" i="26"/>
  <c r="F415" i="26" l="1"/>
  <c r="G416" i="26"/>
  <c r="F63" i="26"/>
  <c r="F17" i="26"/>
  <c r="N13" i="26" s="1"/>
  <c r="N33" i="26" s="1"/>
  <c r="G17" i="26" l="1"/>
  <c r="G63" i="26"/>
  <c r="G415" i="26"/>
  <c r="F9" i="26"/>
  <c r="E10" i="26"/>
  <c r="E18" i="26"/>
  <c r="E30" i="26"/>
  <c r="E32" i="26"/>
  <c r="M18" i="26" s="1"/>
  <c r="M31" i="26" s="1"/>
  <c r="G30" i="26" l="1"/>
  <c r="G10" i="26"/>
  <c r="H10" i="26"/>
  <c r="G18" i="26"/>
  <c r="H18" i="26"/>
  <c r="D129" i="22"/>
  <c r="F121" i="22"/>
  <c r="E121" i="22"/>
  <c r="D121" i="22"/>
  <c r="D94" i="22"/>
  <c r="D87" i="22"/>
  <c r="D53" i="22"/>
  <c r="E94" i="22"/>
  <c r="D246" i="26" l="1"/>
  <c r="D245" i="26" s="1"/>
  <c r="D243" i="26" s="1"/>
  <c r="F414" i="26" l="1"/>
  <c r="F401" i="26"/>
  <c r="F396" i="26"/>
  <c r="F388" i="26"/>
  <c r="F175" i="26"/>
  <c r="F199" i="26"/>
  <c r="F201" i="26"/>
  <c r="F189" i="26"/>
  <c r="F185" i="26"/>
  <c r="F184" i="26"/>
  <c r="F190" i="26"/>
  <c r="F186" i="26"/>
  <c r="F171" i="26"/>
  <c r="F173" i="26"/>
  <c r="F130" i="26"/>
  <c r="F131" i="26"/>
  <c r="F125" i="26"/>
  <c r="F116" i="26"/>
  <c r="F107" i="26"/>
  <c r="F108" i="26"/>
  <c r="F104" i="26"/>
  <c r="F102" i="26"/>
  <c r="E94" i="26"/>
  <c r="F97" i="26"/>
  <c r="F91" i="26"/>
  <c r="F83" i="26"/>
  <c r="F88" i="26"/>
  <c r="F90" i="26"/>
  <c r="F73" i="26"/>
  <c r="F82" i="26"/>
  <c r="F78" i="26"/>
  <c r="F59" i="26"/>
  <c r="F55" i="26"/>
  <c r="F43" i="26"/>
  <c r="F39" i="26"/>
  <c r="F33" i="26"/>
  <c r="N19" i="26" s="1"/>
  <c r="N32" i="26" s="1"/>
  <c r="F32" i="26"/>
  <c r="N18" i="26" s="1"/>
  <c r="N31" i="26" s="1"/>
  <c r="G39" i="26" l="1"/>
  <c r="G73" i="26"/>
  <c r="H73" i="26"/>
  <c r="G125" i="26"/>
  <c r="H125" i="26"/>
  <c r="G190" i="26"/>
  <c r="G185" i="26"/>
  <c r="H185" i="26"/>
  <c r="G90" i="26"/>
  <c r="H90" i="26"/>
  <c r="G102" i="26"/>
  <c r="H102" i="26"/>
  <c r="G131" i="26"/>
  <c r="H131" i="26"/>
  <c r="G184" i="26"/>
  <c r="G388" i="26"/>
  <c r="G55" i="26"/>
  <c r="H55" i="26"/>
  <c r="G88" i="26"/>
  <c r="G104" i="26"/>
  <c r="G130" i="26"/>
  <c r="H130" i="26"/>
  <c r="G59" i="26"/>
  <c r="H59" i="26"/>
  <c r="G83" i="26"/>
  <c r="H83" i="26"/>
  <c r="G108" i="26"/>
  <c r="G173" i="26"/>
  <c r="G189" i="26"/>
  <c r="H189" i="26"/>
  <c r="F400" i="26"/>
  <c r="G32" i="26"/>
  <c r="H32" i="26"/>
  <c r="G78" i="26"/>
  <c r="G91" i="26"/>
  <c r="G107" i="26"/>
  <c r="G171" i="26"/>
  <c r="G201" i="26"/>
  <c r="H201" i="26"/>
  <c r="F413" i="26"/>
  <c r="G413" i="26" s="1"/>
  <c r="G414" i="26"/>
  <c r="G33" i="26"/>
  <c r="H33" i="26"/>
  <c r="G82" i="26"/>
  <c r="H82" i="26"/>
  <c r="F94" i="26"/>
  <c r="G97" i="26"/>
  <c r="H97" i="26"/>
  <c r="G116" i="26"/>
  <c r="H116" i="26"/>
  <c r="G186" i="26"/>
  <c r="H186" i="26"/>
  <c r="G199" i="26"/>
  <c r="F29" i="26"/>
  <c r="F99" i="26"/>
  <c r="F129" i="26"/>
  <c r="F167" i="26"/>
  <c r="F64" i="26"/>
  <c r="F114" i="26"/>
  <c r="F38" i="26"/>
  <c r="F53" i="26"/>
  <c r="N10" i="26" s="1"/>
  <c r="F123" i="26"/>
  <c r="F179" i="26"/>
  <c r="F197" i="26"/>
  <c r="F261" i="26"/>
  <c r="F422" i="26"/>
  <c r="F306" i="26"/>
  <c r="F419" i="26"/>
  <c r="F256" i="26"/>
  <c r="F316" i="26"/>
  <c r="D175" i="26"/>
  <c r="D262" i="26"/>
  <c r="E256" i="26"/>
  <c r="D234" i="26"/>
  <c r="D223" i="26"/>
  <c r="D210" i="26"/>
  <c r="D30" i="26"/>
  <c r="D39" i="26"/>
  <c r="N23" i="26" l="1"/>
  <c r="D38" i="26"/>
  <c r="G419" i="26"/>
  <c r="F160" i="26"/>
  <c r="G94" i="26"/>
  <c r="H94" i="26"/>
  <c r="G422" i="26"/>
  <c r="F314" i="26"/>
  <c r="F110" i="26"/>
  <c r="F174" i="26"/>
  <c r="F122" i="26"/>
  <c r="F93" i="26"/>
  <c r="F394" i="26"/>
  <c r="G256" i="26"/>
  <c r="H256" i="26"/>
  <c r="F192" i="26"/>
  <c r="F304" i="26"/>
  <c r="F259" i="26"/>
  <c r="F52" i="26"/>
  <c r="F7" i="26"/>
  <c r="F417" i="26"/>
  <c r="G417" i="26" s="1"/>
  <c r="F254" i="26"/>
  <c r="E262" i="26"/>
  <c r="D64" i="26"/>
  <c r="D53" i="26"/>
  <c r="D114" i="26"/>
  <c r="D111" i="26"/>
  <c r="D110" i="26" s="1"/>
  <c r="D94" i="26"/>
  <c r="E111" i="26"/>
  <c r="E114" i="26"/>
  <c r="G114" i="26" s="1"/>
  <c r="E99" i="26"/>
  <c r="E93" i="26" s="1"/>
  <c r="E64" i="26"/>
  <c r="E53" i="26"/>
  <c r="E193" i="26"/>
  <c r="E197" i="26"/>
  <c r="G197" i="26" s="1"/>
  <c r="G64" i="26" l="1"/>
  <c r="G53" i="26"/>
  <c r="F158" i="26"/>
  <c r="H114" i="26"/>
  <c r="H99" i="26"/>
  <c r="G99" i="26"/>
  <c r="H64" i="26"/>
  <c r="F120" i="26"/>
  <c r="G111" i="26"/>
  <c r="G262" i="26"/>
  <c r="H262" i="26"/>
  <c r="H197" i="26"/>
  <c r="H53" i="26"/>
  <c r="G193" i="26"/>
  <c r="F50" i="26"/>
  <c r="E52" i="26"/>
  <c r="E192" i="26"/>
  <c r="H192" i="26" s="1"/>
  <c r="E110" i="26"/>
  <c r="D52" i="26"/>
  <c r="E401" i="26"/>
  <c r="E400" i="26" s="1"/>
  <c r="E397" i="26"/>
  <c r="E317" i="26"/>
  <c r="D317" i="26"/>
  <c r="E307" i="26"/>
  <c r="E273" i="26"/>
  <c r="E254" i="26"/>
  <c r="H254" i="26" s="1"/>
  <c r="E175" i="26"/>
  <c r="E179" i="26"/>
  <c r="E167" i="26"/>
  <c r="D167" i="26"/>
  <c r="E161" i="26"/>
  <c r="E149" i="26"/>
  <c r="E147" i="26" s="1"/>
  <c r="E129" i="26"/>
  <c r="E123" i="26"/>
  <c r="D123" i="26"/>
  <c r="G254" i="26" l="1"/>
  <c r="G192" i="26"/>
  <c r="G149" i="26"/>
  <c r="H149" i="26"/>
  <c r="E396" i="26"/>
  <c r="G397" i="26"/>
  <c r="H397" i="26"/>
  <c r="G161" i="26"/>
  <c r="H161" i="26"/>
  <c r="H273" i="26"/>
  <c r="G273" i="26"/>
  <c r="H401" i="26"/>
  <c r="G401" i="26"/>
  <c r="G123" i="26"/>
  <c r="H123" i="26"/>
  <c r="G175" i="26"/>
  <c r="E306" i="26"/>
  <c r="E304" i="26" s="1"/>
  <c r="G307" i="26"/>
  <c r="H307" i="26"/>
  <c r="E316" i="26"/>
  <c r="H317" i="26"/>
  <c r="G317" i="26"/>
  <c r="G167" i="26"/>
  <c r="H167" i="26"/>
  <c r="G179" i="26"/>
  <c r="H179" i="26"/>
  <c r="G129" i="26"/>
  <c r="H129" i="26"/>
  <c r="G400" i="26"/>
  <c r="H400" i="26"/>
  <c r="E160" i="26"/>
  <c r="E50" i="26"/>
  <c r="E394" i="26"/>
  <c r="E122" i="26"/>
  <c r="E174" i="26"/>
  <c r="E261" i="26"/>
  <c r="G394" i="26" l="1"/>
  <c r="H394" i="26"/>
  <c r="H160" i="26"/>
  <c r="G160" i="26"/>
  <c r="G174" i="26"/>
  <c r="H174" i="26"/>
  <c r="G147" i="26"/>
  <c r="H147" i="26"/>
  <c r="E120" i="26"/>
  <c r="G122" i="26"/>
  <c r="H122" i="26"/>
  <c r="E314" i="26"/>
  <c r="G316" i="26"/>
  <c r="H316" i="26"/>
  <c r="H396" i="26"/>
  <c r="G396" i="26"/>
  <c r="E158" i="26"/>
  <c r="D197" i="26"/>
  <c r="D193" i="26"/>
  <c r="D179" i="26"/>
  <c r="D174" i="26" s="1"/>
  <c r="D161" i="26"/>
  <c r="G314" i="26" l="1"/>
  <c r="H314" i="26"/>
  <c r="G158" i="26"/>
  <c r="H158" i="26"/>
  <c r="H120" i="26"/>
  <c r="G120" i="26"/>
  <c r="D160" i="26"/>
  <c r="D192" i="26"/>
  <c r="D158" i="26" l="1"/>
  <c r="F387" i="26"/>
  <c r="F367" i="26"/>
  <c r="F363" i="26" l="1"/>
  <c r="N14" i="26" s="1"/>
  <c r="G367" i="26"/>
  <c r="F377" i="26"/>
  <c r="N21" i="26" s="1"/>
  <c r="G387" i="26"/>
  <c r="F24" i="9"/>
  <c r="F68" i="9" s="1"/>
  <c r="G24" i="9"/>
  <c r="G68" i="9" s="1"/>
  <c r="H24" i="9"/>
  <c r="I24" i="9"/>
  <c r="I68" i="9" s="1"/>
  <c r="J24" i="9"/>
  <c r="J68" i="9" s="1"/>
  <c r="K24" i="9"/>
  <c r="K68" i="9" s="1"/>
  <c r="L24" i="9"/>
  <c r="E24" i="9"/>
  <c r="E68" i="9" s="1"/>
  <c r="H68" i="9"/>
  <c r="N62" i="9"/>
  <c r="N63" i="9"/>
  <c r="N64" i="9"/>
  <c r="N65" i="9"/>
  <c r="N66" i="9"/>
  <c r="N67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25" i="9"/>
  <c r="N23" i="9"/>
  <c r="N22" i="9"/>
  <c r="L18" i="9"/>
  <c r="N9" i="9"/>
  <c r="N10" i="9"/>
  <c r="N11" i="9"/>
  <c r="N12" i="9"/>
  <c r="N13" i="9"/>
  <c r="N14" i="9"/>
  <c r="N15" i="9"/>
  <c r="N16" i="9"/>
  <c r="N17" i="9"/>
  <c r="N19" i="9"/>
  <c r="N20" i="9"/>
  <c r="N21" i="9"/>
  <c r="N8" i="9"/>
  <c r="F354" i="26" l="1"/>
  <c r="N9" i="26" s="1"/>
  <c r="N18" i="9"/>
  <c r="L7" i="9"/>
  <c r="L68" i="9" s="1"/>
  <c r="F370" i="26"/>
  <c r="F352" i="26"/>
  <c r="G352" i="26" s="1"/>
  <c r="N24" i="9"/>
  <c r="N7" i="9"/>
  <c r="G354" i="26" l="1"/>
  <c r="G370" i="26"/>
  <c r="E124" i="24"/>
  <c r="E129" i="24"/>
  <c r="E55" i="24" s="1"/>
  <c r="D55" i="24"/>
  <c r="E49" i="24"/>
  <c r="E6" i="24" s="1"/>
  <c r="E5" i="24" s="1"/>
  <c r="D6" i="24"/>
  <c r="D5" i="24" l="1"/>
  <c r="C134" i="24"/>
  <c r="C55" i="24"/>
  <c r="C25" i="24"/>
  <c r="C22" i="24"/>
  <c r="C8" i="24"/>
  <c r="C6" i="24" l="1"/>
  <c r="C5" i="24" s="1"/>
  <c r="E283" i="26" l="1"/>
  <c r="D283" i="26"/>
  <c r="E282" i="26" l="1"/>
  <c r="E259" i="26" s="1"/>
  <c r="G283" i="26"/>
  <c r="H283" i="26"/>
  <c r="E34" i="26"/>
  <c r="M21" i="26" l="1"/>
  <c r="G34" i="26"/>
  <c r="H34" i="26"/>
  <c r="E29" i="26"/>
  <c r="D415" i="26"/>
  <c r="D414" i="26" s="1"/>
  <c r="D413" i="26" s="1"/>
  <c r="E377" i="26"/>
  <c r="D377" i="26"/>
  <c r="E371" i="26"/>
  <c r="D371" i="26"/>
  <c r="E363" i="26"/>
  <c r="M14" i="26" s="1"/>
  <c r="D363" i="26"/>
  <c r="E355" i="26"/>
  <c r="M10" i="26" s="1"/>
  <c r="D355" i="26"/>
  <c r="L10" i="26" s="1"/>
  <c r="D370" i="26" l="1"/>
  <c r="G363" i="26"/>
  <c r="G371" i="26"/>
  <c r="G355" i="26"/>
  <c r="G377" i="26"/>
  <c r="D354" i="26"/>
  <c r="D316" i="26"/>
  <c r="D314" i="26" s="1"/>
  <c r="D143" i="26"/>
  <c r="D141" i="26"/>
  <c r="L17" i="26" s="1"/>
  <c r="L30" i="26" s="1"/>
  <c r="D129" i="26"/>
  <c r="L14" i="26" s="1"/>
  <c r="D307" i="26"/>
  <c r="E289" i="26"/>
  <c r="M24" i="26" s="1"/>
  <c r="F289" i="26"/>
  <c r="N24" i="26" s="1"/>
  <c r="E291" i="26"/>
  <c r="F291" i="26"/>
  <c r="N28" i="26" s="1"/>
  <c r="N34" i="26" s="1"/>
  <c r="D291" i="26"/>
  <c r="D289" i="26"/>
  <c r="L24" i="26" s="1"/>
  <c r="D282" i="26"/>
  <c r="D273" i="26"/>
  <c r="D261" i="26" s="1"/>
  <c r="D241" i="26"/>
  <c r="D229" i="26"/>
  <c r="D222" i="26" s="1"/>
  <c r="E223" i="26"/>
  <c r="M17" i="26" s="1"/>
  <c r="M30" i="26" s="1"/>
  <c r="M35" i="26" s="1"/>
  <c r="F223" i="26"/>
  <c r="N17" i="26" s="1"/>
  <c r="D218" i="26"/>
  <c r="D209" i="26" s="1"/>
  <c r="D99" i="26"/>
  <c r="E43" i="26"/>
  <c r="M28" i="26" s="1"/>
  <c r="M34" i="26" s="1"/>
  <c r="D34" i="26"/>
  <c r="L21" i="26" s="1"/>
  <c r="L34" i="26" l="1"/>
  <c r="L35" i="26" s="1"/>
  <c r="L28" i="26"/>
  <c r="N30" i="26"/>
  <c r="N35" i="26" s="1"/>
  <c r="D306" i="26"/>
  <c r="D233" i="26"/>
  <c r="D352" i="26"/>
  <c r="G43" i="26"/>
  <c r="G289" i="26"/>
  <c r="G291" i="26"/>
  <c r="G223" i="26"/>
  <c r="D122" i="26"/>
  <c r="D29" i="26"/>
  <c r="L16" i="26" s="1"/>
  <c r="E38" i="26"/>
  <c r="M23" i="26" s="1"/>
  <c r="E9" i="26"/>
  <c r="M9" i="26" s="1"/>
  <c r="E222" i="26"/>
  <c r="M16" i="26" s="1"/>
  <c r="F222" i="26"/>
  <c r="N16" i="26" s="1"/>
  <c r="N8" i="26" s="1"/>
  <c r="D140" i="26"/>
  <c r="D93" i="26"/>
  <c r="D288" i="26"/>
  <c r="F96" i="14"/>
  <c r="G96" i="14" s="1"/>
  <c r="H96" i="14" s="1"/>
  <c r="F95" i="14"/>
  <c r="G95" i="14" s="1"/>
  <c r="H95" i="14" s="1"/>
  <c r="D96" i="14"/>
  <c r="D95" i="14"/>
  <c r="C96" i="14"/>
  <c r="L23" i="26" l="1"/>
  <c r="L9" i="26"/>
  <c r="L8" i="26" s="1"/>
  <c r="M8" i="26"/>
  <c r="D304" i="26"/>
  <c r="G222" i="26"/>
  <c r="E7" i="26"/>
  <c r="D207" i="26"/>
  <c r="D120" i="26"/>
  <c r="D259" i="26"/>
  <c r="D7" i="26"/>
  <c r="D50" i="26"/>
  <c r="F89" i="14"/>
  <c r="C89" i="14"/>
  <c r="C25" i="14"/>
  <c r="F50" i="14"/>
  <c r="E50" i="14"/>
  <c r="D50" i="14"/>
  <c r="C50" i="14"/>
  <c r="H49" i="14"/>
  <c r="G49" i="14"/>
  <c r="G48" i="14"/>
  <c r="H47" i="14"/>
  <c r="G47" i="14"/>
  <c r="H46" i="14"/>
  <c r="G46" i="14"/>
  <c r="H45" i="14"/>
  <c r="G45" i="14"/>
  <c r="C81" i="14"/>
  <c r="D93" i="14"/>
  <c r="E81" i="14"/>
  <c r="G81" i="14" s="1"/>
  <c r="H81" i="14" s="1"/>
  <c r="C85" i="14"/>
  <c r="D85" i="14"/>
  <c r="E85" i="14"/>
  <c r="F85" i="14"/>
  <c r="G85" i="14" s="1"/>
  <c r="H85" i="14" s="1"/>
  <c r="D6" i="26" l="1"/>
  <c r="C93" i="14"/>
  <c r="F93" i="14"/>
  <c r="H50" i="14"/>
  <c r="G50" i="14"/>
  <c r="H7" i="22" l="1"/>
  <c r="G7" i="22"/>
  <c r="E89" i="14" l="1"/>
  <c r="E93" i="14" l="1"/>
  <c r="G93" i="14" s="1"/>
  <c r="H93" i="14" s="1"/>
  <c r="G89" i="14"/>
  <c r="H89" i="14" s="1"/>
  <c r="M7" i="9"/>
  <c r="F6" i="24"/>
  <c r="F38" i="24"/>
  <c r="F55" i="24"/>
  <c r="F134" i="24"/>
  <c r="F135" i="24"/>
  <c r="E207" i="26"/>
  <c r="E6" i="26" s="1"/>
  <c r="F207" i="26"/>
  <c r="F6" i="26" s="1"/>
  <c r="H9" i="26"/>
  <c r="H28" i="26"/>
  <c r="H29" i="26"/>
  <c r="H38" i="26"/>
  <c r="H52" i="26"/>
  <c r="H79" i="26"/>
  <c r="H93" i="26"/>
  <c r="H110" i="26"/>
  <c r="H261" i="26"/>
  <c r="H282" i="26"/>
  <c r="H306" i="26"/>
  <c r="G9" i="26"/>
  <c r="G28" i="26"/>
  <c r="G29" i="26"/>
  <c r="G38" i="26"/>
  <c r="G52" i="26"/>
  <c r="G79" i="26"/>
  <c r="G93" i="26"/>
  <c r="G110" i="26"/>
  <c r="G113" i="26"/>
  <c r="G261" i="26"/>
  <c r="G281" i="26"/>
  <c r="G282" i="26"/>
  <c r="G288" i="26"/>
  <c r="G294" i="26"/>
  <c r="G306" i="26"/>
  <c r="H12" i="22"/>
  <c r="G12" i="22"/>
  <c r="G26" i="22"/>
  <c r="G28" i="22"/>
  <c r="H9" i="22"/>
  <c r="H33" i="22"/>
  <c r="H53" i="22"/>
  <c r="H72" i="22"/>
  <c r="H87" i="22"/>
  <c r="H94" i="22"/>
  <c r="H129" i="22"/>
  <c r="G9" i="22"/>
  <c r="G25" i="22"/>
  <c r="G27" i="22"/>
  <c r="G33" i="22"/>
  <c r="G53" i="22"/>
  <c r="G72" i="22"/>
  <c r="G87" i="22"/>
  <c r="G94" i="22"/>
  <c r="G121" i="22"/>
  <c r="G129" i="22"/>
  <c r="H6" i="26" l="1"/>
  <c r="G6" i="26"/>
  <c r="H50" i="26"/>
  <c r="G50" i="26"/>
  <c r="H304" i="26"/>
  <c r="G259" i="26"/>
  <c r="H259" i="26"/>
  <c r="H7" i="26"/>
  <c r="G207" i="26"/>
  <c r="G304" i="26"/>
  <c r="M68" i="9"/>
  <c r="N68" i="9"/>
  <c r="G7" i="26"/>
  <c r="O7" i="9"/>
  <c r="O24" i="9"/>
  <c r="F5" i="24"/>
  <c r="O68" i="9" l="1"/>
  <c r="G72" i="14"/>
  <c r="H53" i="14"/>
  <c r="H55" i="14"/>
  <c r="H60" i="14"/>
  <c r="H66" i="14"/>
  <c r="H10" i="14"/>
  <c r="H11" i="14"/>
  <c r="H12" i="14"/>
  <c r="H14" i="14"/>
  <c r="H17" i="14"/>
  <c r="H18" i="14"/>
  <c r="H19" i="14"/>
  <c r="H21" i="14"/>
  <c r="H24" i="14"/>
  <c r="H27" i="14"/>
  <c r="H28" i="14"/>
  <c r="H30" i="14"/>
  <c r="H8" i="14" l="1"/>
  <c r="G18" i="14"/>
  <c r="G19" i="14"/>
  <c r="G20" i="14"/>
  <c r="G21" i="14"/>
  <c r="G10" i="14"/>
  <c r="G11" i="14"/>
  <c r="G12" i="14"/>
  <c r="G13" i="14"/>
  <c r="G14" i="14"/>
  <c r="G17" i="14"/>
  <c r="G23" i="14"/>
  <c r="G24" i="14"/>
  <c r="G27" i="14"/>
  <c r="G28" i="14"/>
  <c r="G30" i="14"/>
  <c r="G32" i="14"/>
  <c r="G34" i="14"/>
  <c r="G8" i="14"/>
  <c r="C70" i="14" l="1"/>
  <c r="D70" i="14"/>
  <c r="E70" i="14"/>
  <c r="F70" i="14"/>
  <c r="G70" i="14" l="1"/>
  <c r="D57" i="14"/>
  <c r="D52" i="14"/>
  <c r="C52" i="14"/>
  <c r="D64" i="14"/>
  <c r="E64" i="14"/>
  <c r="F64" i="14"/>
  <c r="C64" i="14"/>
  <c r="E57" i="14"/>
  <c r="F57" i="14"/>
  <c r="C57" i="14"/>
  <c r="E52" i="14"/>
  <c r="F52" i="14"/>
  <c r="E25" i="14"/>
  <c r="F25" i="14"/>
  <c r="D22" i="14"/>
  <c r="D42" i="14" s="1"/>
  <c r="E22" i="14"/>
  <c r="E42" i="14" s="1"/>
  <c r="F22" i="14"/>
  <c r="C22" i="14"/>
  <c r="C42" i="14" s="1"/>
  <c r="G52" i="14" l="1"/>
  <c r="G64" i="14"/>
  <c r="G57" i="14"/>
  <c r="H57" i="14"/>
  <c r="H25" i="14"/>
  <c r="H22" i="14"/>
  <c r="F42" i="14"/>
  <c r="H64" i="14"/>
  <c r="H52" i="14"/>
  <c r="G22" i="14"/>
  <c r="G25" i="14"/>
  <c r="C68" i="14"/>
  <c r="E68" i="14"/>
  <c r="D68" i="14"/>
  <c r="F68" i="14"/>
  <c r="G68" i="14" s="1"/>
  <c r="D25" i="14"/>
  <c r="D16" i="14"/>
  <c r="E16" i="14"/>
  <c r="F16" i="14"/>
  <c r="C16" i="14"/>
  <c r="D9" i="14"/>
  <c r="E9" i="14"/>
  <c r="F9" i="14"/>
  <c r="F15" i="14" s="1"/>
  <c r="F31" i="14" s="1"/>
  <c r="F36" i="14" s="1"/>
  <c r="C9" i="14"/>
  <c r="C43" i="14" l="1"/>
  <c r="C15" i="14"/>
  <c r="D43" i="14"/>
  <c r="E15" i="14"/>
  <c r="E43" i="14"/>
  <c r="G42" i="14"/>
  <c r="H42" i="14"/>
  <c r="H9" i="14"/>
  <c r="F43" i="14"/>
  <c r="H16" i="14"/>
  <c r="H68" i="14"/>
  <c r="G9" i="14"/>
  <c r="G16" i="14"/>
  <c r="G15" i="14" l="1"/>
  <c r="E36" i="14"/>
  <c r="H15" i="14"/>
  <c r="G43" i="14"/>
  <c r="H43" i="14"/>
  <c r="G31" i="14" l="1"/>
  <c r="F39" i="14"/>
  <c r="G36" i="14"/>
  <c r="E39" i="14"/>
  <c r="G39" i="14" l="1"/>
  <c r="D15" i="14"/>
  <c r="D31" i="14" s="1"/>
  <c r="D36" i="14" s="1"/>
  <c r="D39" i="14" s="1"/>
  <c r="C31" i="14" l="1"/>
  <c r="C36" i="14" s="1"/>
  <c r="C39" i="14" s="1"/>
</calcChain>
</file>

<file path=xl/sharedStrings.xml><?xml version="1.0" encoding="utf-8"?>
<sst xmlns="http://schemas.openxmlformats.org/spreadsheetml/2006/main" count="1165" uniqueCount="606">
  <si>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</si>
  <si>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</si>
  <si>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</si>
  <si>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</si>
  <si>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</si>
  <si>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</si>
  <si>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</si>
  <si>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</si>
  <si>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</si>
  <si>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</si>
  <si>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модернізація, модифікація (добудова, дообладнання, реконструкція) основних засобів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</si>
  <si>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</si>
  <si>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</si>
  <si>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</si>
  <si>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</si>
  <si>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</si>
  <si>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</si>
  <si>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</si>
  <si>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</si>
  <si>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</si>
  <si>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</si>
  <si>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</si>
  <si>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</si>
  <si>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</si>
  <si>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</si>
  <si>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</si>
  <si>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</si>
  <si>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</si>
  <si>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</si>
  <si>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</si>
  <si>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</si>
  <si>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</si>
  <si>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</si>
  <si>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</si>
  <si>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</si>
  <si>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</si>
  <si>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</si>
  <si>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</si>
  <si>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</si>
  <si>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</si>
  <si>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</si>
  <si>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</si>
  <si>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</si>
  <si>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</si>
  <si>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</si>
  <si>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</si>
  <si>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</si>
  <si>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</si>
  <si>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</si>
  <si>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</si>
  <si>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</si>
  <si>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</si>
  <si>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</si>
  <si>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</si>
  <si>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</si>
  <si>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</si>
  <si>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</si>
  <si>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</si>
  <si>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</si>
  <si>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</si>
  <si>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</si>
  <si>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</si>
  <si>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</si>
  <si>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</si>
  <si>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</si>
  <si>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</si>
  <si>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</si>
  <si>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</si>
  <si>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</si>
  <si>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</si>
  <si>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</si>
  <si>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</si>
  <si>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</si>
  <si>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</si>
  <si>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</si>
  <si>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</si>
  <si>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</si>
  <si>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</si>
  <si>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Собівартість реалізованої продукції (товарів, робіт, послуг),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</si>
  <si>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</si>
  <si>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</si>
  <si>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</si>
  <si>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</si>
  <si>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</si>
  <si>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</si>
  <si>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</si>
  <si>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</si>
  <si>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</si>
  <si>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</si>
  <si>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</si>
  <si>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</si>
  <si>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</si>
  <si>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</si>
  <si>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</si>
  <si>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</si>
  <si>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</si>
  <si>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</si>
  <si>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</si>
  <si>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</si>
  <si>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</si>
  <si>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</si>
  <si>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</si>
  <si>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</si>
  <si>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</si>
  <si>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</si>
  <si>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Кошти медичної субвенції з державного бюджету:</t>
  </si>
  <si>
    <t>4.</t>
  </si>
  <si>
    <t>5.</t>
  </si>
  <si>
    <t>Матеріальні витрати, усього, у т.ч.: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</si>
  <si>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</si>
  <si>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</si>
  <si>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</si>
  <si>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</si>
  <si>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</si>
  <si>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</si>
  <si>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</si>
  <si>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</si>
  <si>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</si>
  <si>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</si>
  <si>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</si>
  <si>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</si>
  <si>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</si>
  <si>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</si>
  <si>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</si>
  <si>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</si>
  <si>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</si>
  <si>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</si>
  <si>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</si>
  <si>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</si>
  <si>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</si>
  <si>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</si>
  <si>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</si>
  <si>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</si>
  <si>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Елементи операційних витрат:</t>
  </si>
  <si>
    <t>Залучення кредитних коштів</t>
  </si>
  <si>
    <t>Усього:</t>
  </si>
  <si>
    <t xml:space="preserve">Нараховані до сплати податки та збори до Державного бюджету України (податкові платежі) </t>
  </si>
  <si>
    <t>Факт                   за 9 місяців 2020 року</t>
  </si>
  <si>
    <t>План 
на 9 місяців 2021 року</t>
  </si>
  <si>
    <t>Факт 
за 9 місяців 2021 року</t>
  </si>
  <si>
    <t>медикаменти та перев'язувальні матеріали</t>
  </si>
  <si>
    <t>харчування</t>
  </si>
  <si>
    <t xml:space="preserve">наркопрофогляд, медогляд, бакобстеження </t>
  </si>
  <si>
    <t>ремонт та обслуговування ліфтів</t>
  </si>
  <si>
    <t>ремонт та повірка медобладнання, побутової техніки, вимірювання опору заземлення, утилізація, вимірювання дози зовнішнього опромінення</t>
  </si>
  <si>
    <t>телекомунікаційні послуги</t>
  </si>
  <si>
    <t>паливно-мастильні матеріали, запчастини (авто)</t>
  </si>
  <si>
    <t>Інші  адміністративні витрати, усього, у тому числі:</t>
  </si>
  <si>
    <t>охорона сигналізація</t>
  </si>
  <si>
    <t>витрати на сировину для молочної кухні</t>
  </si>
  <si>
    <t>пільгова пенсія</t>
  </si>
  <si>
    <t>За рахунок коштів від надання послуг з  медичної діяльності</t>
  </si>
  <si>
    <t>господарські товари, техн. засоби, електрозберігаючі лампочки,  будівельні матеріали, засоби для прибирання та гігієни</t>
  </si>
  <si>
    <t>канцтовари, періодичні видання, бланки, журнали</t>
  </si>
  <si>
    <t>страхування</t>
  </si>
  <si>
    <t>проїздні квитки, поповнення smart карток</t>
  </si>
  <si>
    <t>обслуговування персонального комп'ютера</t>
  </si>
  <si>
    <t>ремонт приміщень</t>
  </si>
  <si>
    <t>витратні матеріали для молочної кухні</t>
  </si>
  <si>
    <t>канцтовари, періодичні видання, бланки та журнали</t>
  </si>
  <si>
    <t>лікарняні листи, марки, конверти</t>
  </si>
  <si>
    <t xml:space="preserve">медикаменти та перев'язувальні матеріали </t>
  </si>
  <si>
    <t>Інші витрати, у сього, у т.ч.:</t>
  </si>
  <si>
    <t xml:space="preserve">охоронна сигналізація </t>
  </si>
  <si>
    <t>супровід програмного забезпечення, медіа-супровід, обслуговування сайту</t>
  </si>
  <si>
    <t>За рахунок коштів ВМОТГ</t>
  </si>
  <si>
    <t>витратні матеріали для хворих на цукровий діабет</t>
  </si>
  <si>
    <t>витратні матеріали для хворих, що знаходяться на лікуванні у відділенні анестезіології</t>
  </si>
  <si>
    <t>медикаменти 2019-n CoV</t>
  </si>
  <si>
    <t>програма "Стоп грип"</t>
  </si>
  <si>
    <t>хімреактиви, реагенти тощо</t>
  </si>
  <si>
    <t xml:space="preserve">вивіз  сміття </t>
  </si>
  <si>
    <t>інформатизація</t>
  </si>
  <si>
    <t xml:space="preserve">оплата водопостачання та водовідведення </t>
  </si>
  <si>
    <t>оплата електроенергії</t>
  </si>
  <si>
    <t>оплата теплопостачання</t>
  </si>
  <si>
    <t>транспортування працівників</t>
  </si>
  <si>
    <t>псування матеріальних цінностей</t>
  </si>
  <si>
    <t>канцтовари, періодичні видання</t>
  </si>
  <si>
    <t>основні засоби та інші необоротні матеріальні активи, запчастини до медичного обладнання, основних засобів та інших необоротних матеріальни активів</t>
  </si>
  <si>
    <t>банківські послуги, система управління якістю</t>
  </si>
  <si>
    <t>оплата за вивіз сміття</t>
  </si>
  <si>
    <t>оцінка приміщення</t>
  </si>
  <si>
    <t>послуги з навчання</t>
  </si>
  <si>
    <t>технічне обслуговування засобів пожежогасіння</t>
  </si>
  <si>
    <t>дератизація</t>
  </si>
  <si>
    <t>податок на землю</t>
  </si>
  <si>
    <t>Кошти отримані від реалізації в установленому порядку майна (крім нерухомого майна)</t>
  </si>
  <si>
    <t>7.</t>
  </si>
  <si>
    <t>За рахунок коштів отриманих від реалізації продукції молочної кухні</t>
  </si>
  <si>
    <t>публікація в газеті</t>
  </si>
  <si>
    <t>ремонт прибудинкової території</t>
  </si>
  <si>
    <t>вивіз сміття</t>
  </si>
  <si>
    <t>оплата природного газу</t>
  </si>
  <si>
    <t>пеня</t>
  </si>
  <si>
    <t xml:space="preserve">технічне обслуговування газопроводу </t>
  </si>
  <si>
    <t>8.</t>
  </si>
  <si>
    <t>За рахунок коштів орендарів (енергоносії)</t>
  </si>
  <si>
    <t>9.</t>
  </si>
  <si>
    <t>10.</t>
  </si>
  <si>
    <t xml:space="preserve"> інші необоротні матеріальні активи та запчастини до медичного обладнання, основних засобів та інших необоротних матеріальни активів</t>
  </si>
  <si>
    <t>медикаменти (страхова)</t>
  </si>
  <si>
    <t>паливно-мастильні матеріали, автозапчастини</t>
  </si>
  <si>
    <t>господарські товари, технічні засоби, енергозберігаючі лампочки,  будівельні матеріали, засоби для прибирання та гігієни</t>
  </si>
  <si>
    <t>консультаційні послуги</t>
  </si>
  <si>
    <t>виготовлення технічної документації</t>
  </si>
  <si>
    <t>курсова різниця</t>
  </si>
  <si>
    <t>кошти від надання послуг з  медичної діяльності</t>
  </si>
  <si>
    <t>6.</t>
  </si>
  <si>
    <t>кошти медичної субвенції з державного бюджету</t>
  </si>
  <si>
    <r>
      <t>кошти від власних надходжень (</t>
    </r>
    <r>
      <rPr>
        <i/>
        <sz val="14"/>
        <rFont val="Times New Roman"/>
        <family val="1"/>
        <charset val="204"/>
      </rPr>
      <t>платні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палати, стажування інтернів, відшкодування від страхової компанії</t>
    </r>
    <r>
      <rPr>
        <sz val="14"/>
        <rFont val="Times New Roman"/>
        <family val="1"/>
        <charset val="204"/>
      </rPr>
      <t>)</t>
    </r>
  </si>
  <si>
    <t>кошти отримані від реалізації в установленому порядку майна ( крім нерухомого майна)</t>
  </si>
  <si>
    <t>кошти отриманих від реалізації продукції молочної кухні</t>
  </si>
  <si>
    <r>
      <t xml:space="preserve">кошти орендарів </t>
    </r>
    <r>
      <rPr>
        <i/>
        <sz val="14"/>
        <rFont val="Times New Roman"/>
        <family val="1"/>
        <charset val="204"/>
      </rPr>
      <t>(енергоносії)</t>
    </r>
  </si>
  <si>
    <t>надходження від відсотків за залишками коштів на поточних рахунках</t>
  </si>
  <si>
    <t>дохід від курсової різниці</t>
  </si>
  <si>
    <t>нарахування амортизації на безоплатно отримані активи</t>
  </si>
  <si>
    <t>гістологічні дослідження</t>
  </si>
  <si>
    <t xml:space="preserve">скринінгові дослідження новонароджених </t>
  </si>
  <si>
    <t>дослідження на ВІЛ</t>
  </si>
  <si>
    <t>бактеріологічні дослідження</t>
  </si>
  <si>
    <t>ремонт та технічне обслуговування медичного обладнання</t>
  </si>
  <si>
    <t>повірка медичного обладнання</t>
  </si>
  <si>
    <t>супровід програмного забезпечення, медіа-супровід, обслуговування сайту, кваліфікований електронний підпис</t>
  </si>
  <si>
    <t>1.1.1</t>
  </si>
  <si>
    <t>1.1.2</t>
  </si>
  <si>
    <t>1.1.3.</t>
  </si>
  <si>
    <t>1.1.4.</t>
  </si>
  <si>
    <t>1.2.1</t>
  </si>
  <si>
    <t>1.3.1.</t>
  </si>
  <si>
    <t>1.3.2.</t>
  </si>
  <si>
    <t xml:space="preserve">монітор пацієнта UMEG10 Mindray в різній комплектації (4 шт) </t>
  </si>
  <si>
    <t>апарат для штучної вентиляції легень SLE1000 СРАР (Англія) (2 шт)</t>
  </si>
  <si>
    <t>відсмоктувач медичний "БІОМЕД" електричний, модель 7А-23В (20л) (3 шт)</t>
  </si>
  <si>
    <t>світильник операційний L735-ІІ 5-ти рефлекторний</t>
  </si>
  <si>
    <t>набір шаф 1 комплект</t>
  </si>
  <si>
    <t>шафа-купе з тумбою</t>
  </si>
  <si>
    <t>комплект стелажів</t>
  </si>
  <si>
    <t>припливно-витяжна система вентиляції повітря (2 шт)</t>
  </si>
  <si>
    <t>припливно-витяжна система вентиляції повітря (4 шт)</t>
  </si>
  <si>
    <t>фотокалітичний знезаражувач і очисник повітря (7 шт)</t>
  </si>
  <si>
    <t>установка (рамка) дезінфікуюча (4 шт)</t>
  </si>
  <si>
    <t>автоматичний біохімічний аналізатор ACCENT</t>
  </si>
  <si>
    <t>автоматичний гематологічний аналізатор Abacus</t>
  </si>
  <si>
    <t xml:space="preserve">дефібрилятор-монітор BeneHeart </t>
  </si>
  <si>
    <t>насос шприцевий BeneFusion (8 шт)</t>
  </si>
  <si>
    <t>напівавтоматичний 2-канальний коагулометр</t>
  </si>
  <si>
    <t>опромінювач з пеленальним столом типу АИСТ-3</t>
  </si>
  <si>
    <t>реаніматор для новонароджених Т-типу NeopuffTM (2 шт)</t>
  </si>
  <si>
    <t>ультразвукова система Affiniti</t>
  </si>
  <si>
    <t>холодильна шафа-вітрина "ICE STREAM" (2 шт)</t>
  </si>
  <si>
    <t>вітрина холодильна "FROST STREAM"</t>
  </si>
  <si>
    <t>ІФА аналізатор в комплекті</t>
  </si>
  <si>
    <t>система Mistral</t>
  </si>
  <si>
    <t>повітряний компресор (2 шт)</t>
  </si>
  <si>
    <t>система автоматична інфузійна Infusomat Compact Plus насос волюметричний інфузійний</t>
  </si>
  <si>
    <t>аналізатор газів крові</t>
  </si>
  <si>
    <t>пральна машина Indesit</t>
  </si>
  <si>
    <t>центрифуга лабораторна</t>
  </si>
  <si>
    <t>Вантажний автомобіль CKC PGP-05 PK (рефрижераторний)</t>
  </si>
  <si>
    <t>шафа шестисекційна</t>
  </si>
  <si>
    <t>шафа з вітриною</t>
  </si>
  <si>
    <t>придбання персональних комп'ютерів та оргтехніки(у 2019 році- комп'ютерів 27шт, принтерів18 шт.; у 2020 році- 22 комп'ютера, 25 принтерів)</t>
  </si>
  <si>
    <t>стіл в вестибюль</t>
  </si>
  <si>
    <t>стіл кухонний</t>
  </si>
  <si>
    <t>стіл комп'ютерний</t>
  </si>
  <si>
    <t>жалюзі вертикальні (5 шт)</t>
  </si>
  <si>
    <t>ролети тканеві (12 шт)</t>
  </si>
  <si>
    <t>візок для перевезення їжі</t>
  </si>
  <si>
    <t>стілець (25 шт)</t>
  </si>
  <si>
    <t>крісло</t>
  </si>
  <si>
    <t>стіл з полицями та надбудовою (7 шт)</t>
  </si>
  <si>
    <t>стіл з бортом пристінний (5 шт)</t>
  </si>
  <si>
    <t>стіл</t>
  </si>
  <si>
    <t>посібник "Публічні закупівлі, практичні рішення та алгоритм проведення торгів"</t>
  </si>
  <si>
    <t>інгалятор компресорний ONRON</t>
  </si>
  <si>
    <t>лічильник ЛС механічний (2 шт)</t>
  </si>
  <si>
    <t>матрац для ліжечка</t>
  </si>
  <si>
    <t>електрочайник</t>
  </si>
  <si>
    <r>
      <t>ролети тканеві (33,78 м</t>
    </r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)</t>
    </r>
  </si>
  <si>
    <t>принтери (2 шт)</t>
  </si>
  <si>
    <t>мобільні телефони (3 шт)</t>
  </si>
  <si>
    <t>халати (20 шт)</t>
  </si>
  <si>
    <t>комплекти постільної білизни (133 шт)</t>
  </si>
  <si>
    <t>стіл кутовий лівий (61 шт)</t>
  </si>
  <si>
    <t>стіл кутовий правий (84 шт)</t>
  </si>
  <si>
    <t>тумба (150 шт)</t>
  </si>
  <si>
    <t>протипролежневий матрац</t>
  </si>
  <si>
    <t>ліжка новонароджених (4 шт)</t>
  </si>
  <si>
    <t>матраци (5 шт)</t>
  </si>
  <si>
    <t>утилізатор голок</t>
  </si>
  <si>
    <t>ролап конструкція</t>
  </si>
  <si>
    <t>варочна поверхня</t>
  </si>
  <si>
    <t>крісло-ліжео</t>
  </si>
  <si>
    <t>набір навісних шаф</t>
  </si>
  <si>
    <t>столик універсальний (3 шт)</t>
  </si>
  <si>
    <t>столик</t>
  </si>
  <si>
    <t>реконструкція території насосної з улаштуванням приміщення для медичних відходів та тимчасової стоянки для автомобілів КНП "ВМКЛ "ЦМтаД" по вул.Маяковського,138 в м.Вінниці</t>
  </si>
  <si>
    <t>план 
на 9 місяців 2021 року</t>
  </si>
  <si>
    <t>факт 
за 9 місяців 2021 року</t>
  </si>
  <si>
    <t>насос шприцевий BeneFusion (5 шт)</t>
  </si>
  <si>
    <t xml:space="preserve">вертикальний підйомник для інвалідів та інших мало мобільних груп населення (2 шт)                                                 </t>
  </si>
  <si>
    <t xml:space="preserve">шафа з вітриною 2,3*2,4*0,5          </t>
  </si>
  <si>
    <t xml:space="preserve">шафа універсальна 2-х секційна 2,0*1,0*0,45    </t>
  </si>
  <si>
    <t xml:space="preserve">шафа 2,3*1,05*0,6   </t>
  </si>
  <si>
    <t>шафа 2,3*1,2*0,6</t>
  </si>
  <si>
    <t xml:space="preserve">кольпоскоп МК-300 з відеосистемою       </t>
  </si>
  <si>
    <t xml:space="preserve">джерело безперебійного живлення Powercom Macan MAC OnLine                                </t>
  </si>
  <si>
    <t>шафа</t>
  </si>
  <si>
    <t xml:space="preserve">кухня ДСП з стіновою панеллю  </t>
  </si>
  <si>
    <t>фонтан</t>
  </si>
  <si>
    <t xml:space="preserve">кухонний гарнітур (стільниці з тумбами та мийками) </t>
  </si>
  <si>
    <t xml:space="preserve">апарат електрохірургічний "Фотек"     </t>
  </si>
  <si>
    <t xml:space="preserve">Принтер Canon I-SENSYS MF112  </t>
  </si>
  <si>
    <t>Світильник операційний ЛЕД (2 шт)</t>
  </si>
  <si>
    <t xml:space="preserve">Фетальний монітор L8-P6-PRO        </t>
  </si>
  <si>
    <t xml:space="preserve">дозатор механічний одноканальний Proline 20-200 мкл.       </t>
  </si>
  <si>
    <t>вентилятор побутовий 100С1, 94м3/год Домовент (2шт)</t>
  </si>
  <si>
    <t xml:space="preserve">комплект: тумба з умивальником, дзеркало  </t>
  </si>
  <si>
    <t xml:space="preserve">гігрометр ВІТ-Ш-2(+16+40С)ТУ З України 14307481.001-92 УКТЗЕД 9025808010 (5 шт)                                                                                                                                </t>
  </si>
  <si>
    <t xml:space="preserve">стіл зі стільниці                                                                                                                                                                                       </t>
  </si>
  <si>
    <t>ліжко 0,9*2,0 з каркасом металевий з ніжками (6 шт)</t>
  </si>
  <si>
    <t>матрац пружиний 0,9*2,0   (6 шт)</t>
  </si>
  <si>
    <t xml:space="preserve">мийка 0,57*0,445   </t>
  </si>
  <si>
    <t xml:space="preserve">стелаж трирівневий 1500*1000 з н/ж сталі       </t>
  </si>
  <si>
    <t xml:space="preserve">блендер BPAUN MQ5237BK  </t>
  </si>
  <si>
    <t xml:space="preserve">електрочайник Grunhelm                               </t>
  </si>
  <si>
    <t xml:space="preserve">мікрохвильова піч Delfa AMW-20MB (2 шт)       </t>
  </si>
  <si>
    <t xml:space="preserve">пульт електронний для керування блоком тенів 7500Вт 3*400 в  </t>
  </si>
  <si>
    <t xml:space="preserve">тканеві ролети беста-міні (10 шт)    </t>
  </si>
  <si>
    <t xml:space="preserve">вертикальні жалюзі                                                                                                                                                                                      </t>
  </si>
  <si>
    <t>інформаційний стенд (6 шт)</t>
  </si>
  <si>
    <t xml:space="preserve">принтер А4 Epson 1-Series </t>
  </si>
  <si>
    <t xml:space="preserve">детектор індивідуального моніторингу ДТГ-4 (ДТУ)  </t>
  </si>
  <si>
    <t xml:space="preserve">вогнегасник ВП-5  (4 шт)        </t>
  </si>
  <si>
    <t xml:space="preserve">пральна машина Indesit IWUC 40851    </t>
  </si>
  <si>
    <t xml:space="preserve">бактерицидна лампа Bactosfera OBB 15                  </t>
  </si>
  <si>
    <t xml:space="preserve">компресорний небулайзер     </t>
  </si>
  <si>
    <t>тонометр педіатричний з трьома манжетами Little Doctor LD 80</t>
  </si>
  <si>
    <t xml:space="preserve">ваги електронні для новонароджених Momert 6475        </t>
  </si>
  <si>
    <t>відбійник</t>
  </si>
  <si>
    <t>пральна машина Indesit E2SC 2160 W UA</t>
  </si>
  <si>
    <t xml:space="preserve">ліжко лікарняне б/в           </t>
  </si>
  <si>
    <t xml:space="preserve">матрац Ех-2 0,8*1,9                           </t>
  </si>
  <si>
    <t xml:space="preserve">електрочайник Philips 1,5л 240 Вт </t>
  </si>
  <si>
    <t xml:space="preserve">електрочайник Holmer HKS (Скло) </t>
  </si>
  <si>
    <t xml:space="preserve">електричний чайник Grunhelm (3 шт)   </t>
  </si>
  <si>
    <t>мікрохвильова піч Delfa AMW-20MB (3 шт)</t>
  </si>
  <si>
    <t xml:space="preserve">холодильник Delfa (white 89*49.5*46.5 см) (3 шт)   </t>
  </si>
  <si>
    <t xml:space="preserve">тумба приліжкова 0,6*0,5*0,6    (4шт)                               </t>
  </si>
  <si>
    <t>тумба приліжкова 0,67/0,6*0,5 (2 шт)</t>
  </si>
  <si>
    <t>балон для аргону   (3 шт)</t>
  </si>
  <si>
    <t xml:space="preserve">Powercom RPT-600A Schuko (ДБЖ)            </t>
  </si>
  <si>
    <t>стілець Аскона (чорний)  (20 шт)</t>
  </si>
  <si>
    <t>Бюджетне фінансування (кошти бюджету ВМТГ/кошти бюджету ВМОТГ)</t>
  </si>
  <si>
    <t>Власні кошти (платні послуги)</t>
  </si>
  <si>
    <t>Інші джерела (благодійні кошти, НСЗУ)</t>
  </si>
  <si>
    <t>інформаційний стенд(6 шт)</t>
  </si>
  <si>
    <t>ремонт та технічне обслуговування немедичного обладнання</t>
  </si>
  <si>
    <t xml:space="preserve">ремонт та технічне обслуговування авто </t>
  </si>
  <si>
    <t>ремонт та технічне обслуговування ПК та оргтехніки</t>
  </si>
  <si>
    <t xml:space="preserve">публікація в газеті </t>
  </si>
  <si>
    <r>
      <t>Кошти державного бюджету (</t>
    </r>
    <r>
      <rPr>
        <b/>
        <i/>
        <sz val="14"/>
        <rFont val="Times New Roman"/>
        <family val="1"/>
        <charset val="204"/>
      </rPr>
      <t>відшкодування лікарям-інтернам за проходження інтернатури)</t>
    </r>
  </si>
  <si>
    <t>Благодійна допомога в натуральній формі</t>
  </si>
  <si>
    <t>паливно-мастильні матеріали</t>
  </si>
  <si>
    <t>наркопрофогляд</t>
  </si>
  <si>
    <t xml:space="preserve">лікарняні листи </t>
  </si>
  <si>
    <t xml:space="preserve">Благодійна допомога в грошовому еквіваленті </t>
  </si>
  <si>
    <t>Дохід від курсової різниці на залишок коштів валютного рахунку за рахунок залишку минулих періодів</t>
  </si>
  <si>
    <t>Нарахування амортизації на безоплатно отримані активи, усього, у т.ч.:</t>
  </si>
  <si>
    <t>12.</t>
  </si>
  <si>
    <t>13.</t>
  </si>
  <si>
    <t>16.</t>
  </si>
  <si>
    <t>медичне обладнання</t>
  </si>
  <si>
    <t>немедичне обладнання</t>
  </si>
  <si>
    <t>меблі</t>
  </si>
  <si>
    <t>дозометричний контроль</t>
  </si>
  <si>
    <t xml:space="preserve">страхування майна </t>
  </si>
  <si>
    <t>утилізація, дезинфекція</t>
  </si>
  <si>
    <t>поповнення смарт-карток для проїзду</t>
  </si>
  <si>
    <t>оплата водопостачання та водовідведення</t>
  </si>
  <si>
    <t>експертний висновок (доступність будівель)</t>
  </si>
  <si>
    <t>наркопрофогляд, медогляд</t>
  </si>
  <si>
    <t xml:space="preserve">розрахунок норми витрат палива </t>
  </si>
  <si>
    <t xml:space="preserve">телекомунікаційні послуги </t>
  </si>
  <si>
    <t xml:space="preserve">страхування цивільно-правової відповідальності власників транспортних засобів </t>
  </si>
  <si>
    <t>відключення від системи газопостачання</t>
  </si>
  <si>
    <t xml:space="preserve">канцтовари, періодичні видання, бланки, журнали </t>
  </si>
  <si>
    <t>оцінка приміщення/обладнання</t>
  </si>
  <si>
    <t>інформаційно-консультаційні послуги</t>
  </si>
  <si>
    <t>фотозйомка для Google Map</t>
  </si>
  <si>
    <t>Надходження від відсотків за залишками коштів на депозитних рахунках</t>
  </si>
  <si>
    <t>банківські послуги</t>
  </si>
  <si>
    <t xml:space="preserve">ремонт та технічне обслуговування ПК та оргтехніки </t>
  </si>
  <si>
    <t>охоронна сигналізація</t>
  </si>
  <si>
    <t>проведення наглядового аудиту сертифікації управління якістю</t>
  </si>
  <si>
    <t xml:space="preserve">податок на додану вартість </t>
  </si>
  <si>
    <t>експертний висновок</t>
  </si>
  <si>
    <t xml:space="preserve">послуги з захоронення мертвонародженого плоду </t>
  </si>
  <si>
    <t xml:space="preserve">пільгова пенсія </t>
  </si>
  <si>
    <t>ліцензія</t>
  </si>
  <si>
    <t>1.1.5.</t>
  </si>
  <si>
    <t>1.2.2</t>
  </si>
  <si>
    <t>1.3.3.</t>
  </si>
  <si>
    <t>запчастини до медичного обладнання, основних засобів, інших необоротнихї матеріальних активів та на інші необоротні матеріальні активи</t>
  </si>
  <si>
    <t xml:space="preserve">технінче обслуговування та ремонт ліфтів </t>
  </si>
  <si>
    <t xml:space="preserve">оцінка майна </t>
  </si>
  <si>
    <t>науково-технічні роботи</t>
  </si>
  <si>
    <t>технічне обслуговування та ремонт ліфтів</t>
  </si>
  <si>
    <t>Кошти від надання послуг з немедичної діяльності (платні палати, стажування інтернів, відшкодування від страхової компанії)</t>
  </si>
  <si>
    <t>страхування майна</t>
  </si>
  <si>
    <t>проведення наглядового аудиту</t>
  </si>
  <si>
    <t>Кошти медичної субвенції з державного бюджету, за рахунок запасів минулих періодів</t>
  </si>
  <si>
    <t>витратні матеріали для хворих, що знаходяться на лікуванні у відділенні анестезіології 2019-n CoV</t>
  </si>
  <si>
    <t>програма "СТОП ГРИП"</t>
  </si>
  <si>
    <t xml:space="preserve">витрати на сировину для молочної кухні </t>
  </si>
  <si>
    <t>скринінгові дослідження новонароджених</t>
  </si>
  <si>
    <t>дослідження ВІЛ</t>
  </si>
  <si>
    <t xml:space="preserve">ремонт та технічне обслуговування медичного обладнання </t>
  </si>
  <si>
    <t>ремонт та технічне обслуговування авто</t>
  </si>
  <si>
    <t>ромонт та технічне обслуговування ліфтів</t>
  </si>
  <si>
    <t>розрахунок норми витрат палива</t>
  </si>
  <si>
    <t>супровід програмного забезпечення, медіа-супровід, обслуговування сайту, КЕП</t>
  </si>
  <si>
    <t>страхування цивільно-правової відповідальності власників транспортних засобів</t>
  </si>
  <si>
    <t>оцінка майна</t>
  </si>
  <si>
    <t>утилізація,дезинфекція</t>
  </si>
  <si>
    <t>поповнення смарт-карток</t>
  </si>
  <si>
    <t xml:space="preserve">ремонт та технічне обслуговування немедичного обладнання </t>
  </si>
  <si>
    <t>ремонт приміщень та інженерних мереж</t>
  </si>
  <si>
    <t>інформаційні-консультаційні послуги</t>
  </si>
  <si>
    <t>ПДВ</t>
  </si>
  <si>
    <t xml:space="preserve">експертний висновок </t>
  </si>
  <si>
    <t xml:space="preserve">земельний податок </t>
  </si>
  <si>
    <t>послуги з захоронення мертвонародженого плоду</t>
  </si>
  <si>
    <t xml:space="preserve">послуги з навчання </t>
  </si>
  <si>
    <t>проіздні квитки, поповнення смарт-карток</t>
  </si>
  <si>
    <t>поповнення з навчання</t>
  </si>
  <si>
    <t xml:space="preserve">витратні матеріали для молочної кухні </t>
  </si>
  <si>
    <t xml:space="preserve">витрати від курсових різниць </t>
  </si>
  <si>
    <t>технічне обслуговування газопроводу</t>
  </si>
  <si>
    <t>паливно-мастильні матеріали, запчастинии (авто)</t>
  </si>
  <si>
    <t>кошти від надання послуг з немедичної діяльності (платні палати, стажування інтернів, відшкодування від страхової компанії)</t>
  </si>
  <si>
    <t>кошти державного бюджету (відшкодування лікарям-інтернам за проходження інтернатури)</t>
  </si>
  <si>
    <t xml:space="preserve">ремонт приміщень </t>
  </si>
  <si>
    <t>медогляд, наркопрофогляд</t>
  </si>
  <si>
    <t>ремонт приміщень/прибудинкова</t>
  </si>
  <si>
    <t xml:space="preserve">паливно-мастильні матеріали </t>
  </si>
  <si>
    <t>дохід від оприбуткування вторсировини (металобрухт)</t>
  </si>
  <si>
    <t>ремонт та технічне обслуговування ліфтів</t>
  </si>
  <si>
    <t>металобрухт</t>
  </si>
  <si>
    <t>Дохід від оприбуткування вторсировини (металобрухт)</t>
  </si>
  <si>
    <t>17.</t>
  </si>
  <si>
    <t>18.</t>
  </si>
  <si>
    <t>Дохід від оприбуткування вторсировини (металобрухт) за рахунок залишку запасів</t>
  </si>
  <si>
    <t>утилізація</t>
  </si>
  <si>
    <t>за 9 місяців 2021 року</t>
  </si>
  <si>
    <t>за 9 місяців 2020 року</t>
  </si>
  <si>
    <t>Звітний за 9 місяців 2021 року</t>
  </si>
  <si>
    <t>Кошти отримані від реалізації в установленому порядку майна (крім нерухомого майна) за рахунок коштів минулих періодів</t>
  </si>
  <si>
    <t>За рахунок коштів орендарів (енергоносії) за рахунок коштів минулих періодів</t>
  </si>
  <si>
    <t>11.</t>
  </si>
  <si>
    <t>14.1</t>
  </si>
  <si>
    <t>19.</t>
  </si>
  <si>
    <t>запчастини до медичного обладнання</t>
  </si>
  <si>
    <t>7.1.3</t>
  </si>
  <si>
    <t>7.1.2</t>
  </si>
  <si>
    <t>кошти Вінницької міської об'єднаної територіальної громади (ВМОТГ)</t>
  </si>
  <si>
    <t>лікарняні листки, марки, конверти</t>
  </si>
  <si>
    <t>1.2.3</t>
  </si>
  <si>
    <t>1.2.5</t>
  </si>
  <si>
    <t>1.3.5</t>
  </si>
  <si>
    <t>3.1.5</t>
  </si>
  <si>
    <t>3.2.5</t>
  </si>
  <si>
    <t>3.3</t>
  </si>
  <si>
    <t>3.2</t>
  </si>
  <si>
    <t>3.3.5</t>
  </si>
  <si>
    <t>4.1</t>
  </si>
  <si>
    <t>4.1.1</t>
  </si>
  <si>
    <t>4.1.5</t>
  </si>
  <si>
    <t>4.2</t>
  </si>
  <si>
    <t>4.2.1</t>
  </si>
  <si>
    <t>4.2.5</t>
  </si>
  <si>
    <t>4.3</t>
  </si>
  <si>
    <t>4.3.5</t>
  </si>
  <si>
    <t>5.1</t>
  </si>
  <si>
    <t>5.1.1</t>
  </si>
  <si>
    <t>5.1.4</t>
  </si>
  <si>
    <t>5.1.5</t>
  </si>
  <si>
    <t>5.2</t>
  </si>
  <si>
    <t>5.2.1</t>
  </si>
  <si>
    <t>5.2.5</t>
  </si>
  <si>
    <t>5.3</t>
  </si>
  <si>
    <t>5.3.1</t>
  </si>
  <si>
    <t>5.3.5</t>
  </si>
  <si>
    <t>6.1</t>
  </si>
  <si>
    <t>8.1</t>
  </si>
  <si>
    <t>8.1.1</t>
  </si>
  <si>
    <t>8.2</t>
  </si>
  <si>
    <t>9.1</t>
  </si>
  <si>
    <t>10.1</t>
  </si>
  <si>
    <t>10.1.5</t>
  </si>
  <si>
    <t>11.1</t>
  </si>
  <si>
    <t>12.1</t>
  </si>
  <si>
    <t>12.1.5</t>
  </si>
  <si>
    <t>13.1</t>
  </si>
  <si>
    <t>13.1.5</t>
  </si>
  <si>
    <t>14.</t>
  </si>
  <si>
    <t>14.1.5</t>
  </si>
  <si>
    <t>15.</t>
  </si>
  <si>
    <t>15.1.5</t>
  </si>
  <si>
    <t>16.1</t>
  </si>
  <si>
    <t>16.1.5</t>
  </si>
  <si>
    <t>17.1.5</t>
  </si>
  <si>
    <t>19.1</t>
  </si>
  <si>
    <t>18.1</t>
  </si>
  <si>
    <t>17.1</t>
  </si>
  <si>
    <t>19.2</t>
  </si>
  <si>
    <t>Фонд оплати праці</t>
  </si>
  <si>
    <t xml:space="preserve">телефоний апарат Astro A169 (14 шт)         </t>
  </si>
  <si>
    <t xml:space="preserve">протипролежневий масажний матрац (2 шт)   </t>
  </si>
  <si>
    <t xml:space="preserve">принтер Canon i-SENSYS MF3010+usb   </t>
  </si>
  <si>
    <t xml:space="preserve">холодильник Elenberg MR (2 шт)  </t>
  </si>
  <si>
    <t xml:space="preserve">смітник декоративний з мармуровою крихтою 400х400х630 в комплекті з відром (6 шт)                                                                                                                              </t>
  </si>
  <si>
    <t xml:space="preserve">Розшифровка до розділу  IV. "Капітальні інвестиції за джерелами надходження"  </t>
  </si>
  <si>
    <t xml:space="preserve">принтер Canon I-SENSYS MF112  </t>
  </si>
  <si>
    <t>світильник операційний ЛЕД (2 шт)</t>
  </si>
  <si>
    <t xml:space="preserve">фетальний монітор L8-P6-PRO        </t>
  </si>
  <si>
    <t>кошти державного бюджету від Національної служби здоров'я України</t>
  </si>
  <si>
    <t>кошти медичної субвенції з державного бюджету за рахунок залишку запасів минулих періодів</t>
  </si>
  <si>
    <t>кошти Вінницької міської об'єднаної територіальної громади (ВМОТГ) за рахунок запасів минулих періодів</t>
  </si>
  <si>
    <t xml:space="preserve">благодійна допомога в грошовому еквіваленті </t>
  </si>
  <si>
    <t>благодійна допомога в натуральній формі</t>
  </si>
  <si>
    <t xml:space="preserve">Кошти від надання послуг з немедичної діяльності (платні палати, стажування інтернів, відшкодування від страхової компанії) за рахунок запасів минулих періодів </t>
  </si>
  <si>
    <t>За рахунок коштів ВМОТГ за рахунок залишку запасів минулих періодів</t>
  </si>
  <si>
    <t>Благодійна допомога в грошовому еквіваленті  за рахунок запасів минулих періодів</t>
  </si>
  <si>
    <t>надходження від відсотків за залишками коштів на депозитних рахунках</t>
  </si>
  <si>
    <t>В. Присяжнюк</t>
  </si>
  <si>
    <t>Кошти державного бюджету від Національної служби здоров'я України за рахунок залишку коштів минулих періодів</t>
  </si>
  <si>
    <t>2.1.2</t>
  </si>
  <si>
    <t>2.1.3</t>
  </si>
  <si>
    <t>3.1</t>
  </si>
  <si>
    <t>3.1.1</t>
  </si>
  <si>
    <t>3.1.4</t>
  </si>
  <si>
    <t>3.2.1</t>
  </si>
  <si>
    <t>3.3.1</t>
  </si>
  <si>
    <t>4.3.4</t>
  </si>
  <si>
    <t>5.2.4</t>
  </si>
  <si>
    <t>6.1.5</t>
  </si>
  <si>
    <t>7.1</t>
  </si>
  <si>
    <t>7.1.1</t>
  </si>
  <si>
    <t>7.1.4</t>
  </si>
  <si>
    <t>7.1.5</t>
  </si>
  <si>
    <t>7.2</t>
  </si>
  <si>
    <t>7.2.1</t>
  </si>
  <si>
    <t>7.2.2</t>
  </si>
  <si>
    <t>7.2.3</t>
  </si>
  <si>
    <t>7.2.5</t>
  </si>
  <si>
    <t>7.3</t>
  </si>
  <si>
    <t>7.3.1</t>
  </si>
  <si>
    <t>7.3.2</t>
  </si>
  <si>
    <t>7.3.3</t>
  </si>
  <si>
    <t>7.3.5</t>
  </si>
  <si>
    <t>8.2.1</t>
  </si>
  <si>
    <t>9.1.2</t>
  </si>
  <si>
    <t>9.1.3</t>
  </si>
  <si>
    <t>10.1.1</t>
  </si>
  <si>
    <t>10.1.2</t>
  </si>
  <si>
    <t>10.1.3</t>
  </si>
  <si>
    <t>10.1.4</t>
  </si>
  <si>
    <t>10.2</t>
  </si>
  <si>
    <t>10.2.5</t>
  </si>
  <si>
    <t>10.3</t>
  </si>
  <si>
    <t>10.3.1</t>
  </si>
  <si>
    <t>10.3.5</t>
  </si>
  <si>
    <t>11.1.1</t>
  </si>
  <si>
    <t>15.1</t>
  </si>
  <si>
    <t>16.1.1</t>
  </si>
  <si>
    <t>16.2</t>
  </si>
  <si>
    <t>16.2.5</t>
  </si>
  <si>
    <t>16.3</t>
  </si>
  <si>
    <t>16.3.5</t>
  </si>
  <si>
    <t>17.1.1</t>
  </si>
  <si>
    <t>17.1.4</t>
  </si>
  <si>
    <t>17.2</t>
  </si>
  <si>
    <t>17.2.1</t>
  </si>
  <si>
    <t>17.2.5</t>
  </si>
  <si>
    <t>18.1.1</t>
  </si>
  <si>
    <t>19.1.5</t>
  </si>
  <si>
    <t>19.2.5</t>
  </si>
  <si>
    <t>20.</t>
  </si>
  <si>
    <t>20.1</t>
  </si>
  <si>
    <t>20.1.5</t>
  </si>
  <si>
    <t>21.</t>
  </si>
  <si>
    <t>21.1</t>
  </si>
  <si>
    <t>21.1.5</t>
  </si>
  <si>
    <t>22.</t>
  </si>
  <si>
    <t>22.1</t>
  </si>
  <si>
    <t>22.1.5</t>
  </si>
  <si>
    <t>23.</t>
  </si>
  <si>
    <t>23.1</t>
  </si>
  <si>
    <t>23.1.4</t>
  </si>
  <si>
    <t>23.2</t>
  </si>
  <si>
    <t>23.2.4</t>
  </si>
  <si>
    <t xml:space="preserve">ЗВІТ
 про виконання показників фінансового плану КНП "Вінницька міська клінічна лікарня "Центр матері та дитини"
за 9 місяців 2021 року
   </t>
  </si>
  <si>
    <t>Директор КНП "ВМКЛ"ЦМтаД"</t>
  </si>
  <si>
    <r>
      <t>Директор КНП"ВМКЛ"ЦМтаД"</t>
    </r>
    <r>
      <rPr>
        <u/>
        <sz val="16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</si>
</sst>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\ _₴_-;\-* #,##0.0\ _₴_-;_-* &quot;-&quot;?\ _₴_-;_-@_-"/>
  </numFmts>
  <fonts count="8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u/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b/>
      <sz val="1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5" fillId="0" borderId="0"/>
  </cellStyleXfs>
  <cellXfs count="324">
    <xf numFmtId="0" fontId="0" fillId="0" borderId="0" xfId="0"/>
    <xf numFmtId="178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center" vertical="center"/>
    </xf>
    <xf numFmtId="0" fontId="68" fillId="0" borderId="0" xfId="0" applyFont="1" applyFill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 shrinkToFit="1"/>
    </xf>
    <xf numFmtId="0" fontId="66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6" fillId="29" borderId="20" xfId="182" applyFont="1" applyFill="1" applyBorder="1" applyAlignment="1">
      <alignment vertical="center" wrapText="1"/>
      <protection locked="0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left" vertical="center" wrapText="1"/>
    </xf>
    <xf numFmtId="0" fontId="62" fillId="29" borderId="22" xfId="0" applyFont="1" applyFill="1" applyBorder="1" applyAlignment="1">
      <alignment horizontal="left" vertical="center" wrapText="1"/>
    </xf>
    <xf numFmtId="0" fontId="62" fillId="29" borderId="23" xfId="0" applyFont="1" applyFill="1" applyBorder="1" applyAlignment="1">
      <alignment horizontal="center" vertical="center"/>
    </xf>
    <xf numFmtId="49" fontId="66" fillId="29" borderId="3" xfId="0" applyNumberFormat="1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177" fontId="62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 applyProtection="1">
      <alignment horizontal="left" vertical="center"/>
      <protection locked="0"/>
    </xf>
    <xf numFmtId="170" fontId="66" fillId="0" borderId="0" xfId="0" applyNumberFormat="1" applyFont="1" applyFill="1" applyBorder="1" applyAlignment="1">
      <alignment horizontal="center" vertical="center" wrapText="1"/>
    </xf>
    <xf numFmtId="170" fontId="66" fillId="0" borderId="0" xfId="0" applyNumberFormat="1" applyFont="1" applyFill="1" applyBorder="1" applyAlignment="1">
      <alignment horizontal="right" vertical="center" wrapText="1"/>
    </xf>
    <xf numFmtId="170" fontId="62" fillId="0" borderId="0" xfId="0" applyNumberFormat="1" applyFont="1" applyFill="1" applyBorder="1" applyAlignment="1">
      <alignment horizontal="center" vertical="center" wrapText="1"/>
    </xf>
    <xf numFmtId="0" fontId="62" fillId="0" borderId="0" xfId="0" quotePrefix="1" applyFont="1" applyFill="1" applyBorder="1" applyAlignment="1">
      <alignment horizontal="center" vertical="center"/>
    </xf>
    <xf numFmtId="170" fontId="68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178" fontId="63" fillId="29" borderId="3" xfId="0" applyNumberFormat="1" applyFont="1" applyFill="1" applyBorder="1" applyAlignment="1">
      <alignment horizontal="center" vertical="center" wrapText="1"/>
    </xf>
    <xf numFmtId="178" fontId="65" fillId="29" borderId="3" xfId="0" applyNumberFormat="1" applyFont="1" applyFill="1" applyBorder="1" applyAlignment="1">
      <alignment horizontal="center" vertical="center" wrapText="1"/>
    </xf>
    <xf numFmtId="0" fontId="65" fillId="29" borderId="0" xfId="0" quotePrefix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/>
    </xf>
    <xf numFmtId="178" fontId="64" fillId="29" borderId="3" xfId="0" applyNumberFormat="1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7" fillId="29" borderId="3" xfId="0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8" fontId="62" fillId="29" borderId="23" xfId="0" applyNumberFormat="1" applyFont="1" applyFill="1" applyBorder="1" applyAlignment="1">
      <alignment horizontal="center" vertical="center" wrapText="1"/>
    </xf>
    <xf numFmtId="0" fontId="67" fillId="29" borderId="20" xfId="0" applyFont="1" applyFill="1" applyBorder="1" applyAlignment="1">
      <alignment horizontal="center" vertical="center"/>
    </xf>
    <xf numFmtId="0" fontId="66" fillId="29" borderId="20" xfId="0" applyFont="1" applyFill="1" applyBorder="1" applyAlignment="1" applyProtection="1">
      <alignment horizontal="left" vertical="center" wrapText="1"/>
      <protection locked="0"/>
    </xf>
    <xf numFmtId="0" fontId="62" fillId="29" borderId="20" xfId="182" applyFont="1" applyFill="1" applyBorder="1" applyAlignment="1">
      <alignment vertical="center" wrapText="1"/>
      <protection locked="0"/>
    </xf>
    <xf numFmtId="0" fontId="62" fillId="29" borderId="22" xfId="182" applyFont="1" applyFill="1" applyBorder="1" applyAlignment="1">
      <alignment vertical="center" wrapText="1"/>
      <protection locked="0"/>
    </xf>
    <xf numFmtId="177" fontId="62" fillId="29" borderId="23" xfId="0" applyNumberFormat="1" applyFont="1" applyFill="1" applyBorder="1" applyAlignment="1">
      <alignment horizontal="center" vertical="center" wrapText="1"/>
    </xf>
    <xf numFmtId="178" fontId="66" fillId="29" borderId="12" xfId="0" applyNumberFormat="1" applyFont="1" applyFill="1" applyBorder="1" applyAlignment="1">
      <alignment horizontal="center" vertical="center" wrapText="1"/>
    </xf>
    <xf numFmtId="178" fontId="62" fillId="29" borderId="12" xfId="0" applyNumberFormat="1" applyFont="1" applyFill="1" applyBorder="1" applyAlignment="1">
      <alignment horizontal="center" vertical="center" wrapText="1"/>
    </xf>
    <xf numFmtId="178" fontId="62" fillId="29" borderId="26" xfId="0" applyNumberFormat="1" applyFont="1" applyFill="1" applyBorder="1" applyAlignment="1">
      <alignment horizontal="center" vertical="center" wrapText="1"/>
    </xf>
    <xf numFmtId="0" fontId="66" fillId="29" borderId="20" xfId="245" applyFont="1" applyFill="1" applyBorder="1" applyAlignment="1">
      <alignment horizontal="left" vertical="center" wrapText="1"/>
    </xf>
    <xf numFmtId="0" fontId="62" fillId="29" borderId="20" xfId="245" applyFont="1" applyFill="1" applyBorder="1" applyAlignment="1">
      <alignment horizontal="left" vertical="center" wrapText="1"/>
    </xf>
    <xf numFmtId="0" fontId="66" fillId="29" borderId="22" xfId="0" applyFont="1" applyFill="1" applyBorder="1" applyAlignment="1" applyProtection="1">
      <alignment horizontal="left" vertical="center" wrapText="1"/>
      <protection locked="0"/>
    </xf>
    <xf numFmtId="0" fontId="66" fillId="29" borderId="23" xfId="0" applyFont="1" applyFill="1" applyBorder="1" applyAlignment="1">
      <alignment horizontal="center" vertical="center" wrapText="1"/>
    </xf>
    <xf numFmtId="178" fontId="66" fillId="29" borderId="23" xfId="0" applyNumberFormat="1" applyFont="1" applyFill="1" applyBorder="1" applyAlignment="1">
      <alignment horizontal="center" vertical="center" wrapText="1"/>
    </xf>
    <xf numFmtId="178" fontId="66" fillId="29" borderId="26" xfId="0" applyNumberFormat="1" applyFont="1" applyFill="1" applyBorder="1" applyAlignment="1">
      <alignment horizontal="center" vertical="center" wrapText="1"/>
    </xf>
    <xf numFmtId="0" fontId="66" fillId="29" borderId="22" xfId="0" applyFont="1" applyFill="1" applyBorder="1" applyAlignment="1">
      <alignment horizontal="left" vertical="center" wrapText="1"/>
    </xf>
    <xf numFmtId="0" fontId="62" fillId="0" borderId="31" xfId="0" applyFont="1" applyFill="1" applyBorder="1" applyAlignment="1">
      <alignment horizontal="center" vertical="center" wrapText="1"/>
    </xf>
    <xf numFmtId="0" fontId="66" fillId="29" borderId="22" xfId="182" applyFont="1" applyFill="1" applyBorder="1" applyAlignment="1">
      <alignment vertical="center" wrapText="1"/>
      <protection locked="0"/>
    </xf>
    <xf numFmtId="0" fontId="66" fillId="29" borderId="2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76" fillId="29" borderId="3" xfId="0" applyFont="1" applyFill="1" applyBorder="1" applyAlignment="1">
      <alignment vertical="center" wrapText="1"/>
    </xf>
    <xf numFmtId="0" fontId="76" fillId="29" borderId="3" xfId="0" applyFont="1" applyFill="1" applyBorder="1" applyAlignment="1">
      <alignment horizontal="center" vertical="center"/>
    </xf>
    <xf numFmtId="0" fontId="76" fillId="29" borderId="3" xfId="0" applyFont="1" applyFill="1" applyBorder="1" applyAlignment="1">
      <alignment horizontal="left" vertical="center" wrapText="1"/>
    </xf>
    <xf numFmtId="0" fontId="76" fillId="29" borderId="3" xfId="0" applyFont="1" applyFill="1" applyBorder="1" applyAlignment="1">
      <alignment horizontal="left" vertical="center"/>
    </xf>
    <xf numFmtId="0" fontId="65" fillId="29" borderId="3" xfId="0" applyFont="1" applyFill="1" applyBorder="1" applyAlignment="1">
      <alignment horizontal="left" vertical="center"/>
    </xf>
    <xf numFmtId="0" fontId="64" fillId="29" borderId="3" xfId="0" applyFont="1" applyFill="1" applyBorder="1" applyAlignment="1">
      <alignment horizontal="center" vertical="center" wrapText="1"/>
    </xf>
    <xf numFmtId="0" fontId="76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 wrapText="1"/>
    </xf>
    <xf numFmtId="0" fontId="76" fillId="29" borderId="16" xfId="0" applyFont="1" applyFill="1" applyBorder="1" applyAlignment="1">
      <alignment vertical="center" wrapText="1"/>
    </xf>
    <xf numFmtId="0" fontId="65" fillId="29" borderId="3" xfId="0" applyFont="1" applyFill="1" applyBorder="1" applyAlignment="1">
      <alignment horizontal="left" vertical="center" wrapText="1"/>
    </xf>
    <xf numFmtId="0" fontId="76" fillId="29" borderId="3" xfId="0" applyFont="1" applyFill="1" applyBorder="1" applyAlignment="1">
      <alignment vertical="center"/>
    </xf>
    <xf numFmtId="0" fontId="76" fillId="29" borderId="3" xfId="0" quotePrefix="1" applyFont="1" applyFill="1" applyBorder="1" applyAlignment="1">
      <alignment horizontal="center" vertical="center"/>
    </xf>
    <xf numFmtId="49" fontId="63" fillId="29" borderId="3" xfId="0" applyNumberFormat="1" applyFont="1" applyFill="1" applyBorder="1" applyAlignment="1">
      <alignment horizontal="center" vertical="center"/>
    </xf>
    <xf numFmtId="49" fontId="65" fillId="29" borderId="3" xfId="0" applyNumberFormat="1" applyFont="1" applyFill="1" applyBorder="1" applyAlignment="1">
      <alignment horizontal="center" vertical="center"/>
    </xf>
    <xf numFmtId="49" fontId="64" fillId="29" borderId="3" xfId="0" applyNumberFormat="1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left" vertical="center" wrapText="1"/>
    </xf>
    <xf numFmtId="0" fontId="78" fillId="29" borderId="3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left" vertical="center"/>
    </xf>
    <xf numFmtId="0" fontId="65" fillId="29" borderId="15" xfId="0" applyFont="1" applyFill="1" applyBorder="1" applyAlignment="1">
      <alignment horizontal="left" vertical="center"/>
    </xf>
    <xf numFmtId="49" fontId="79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vertical="center"/>
    </xf>
    <xf numFmtId="0" fontId="65" fillId="30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/>
    </xf>
    <xf numFmtId="0" fontId="76" fillId="29" borderId="32" xfId="0" applyFont="1" applyFill="1" applyBorder="1" applyAlignment="1">
      <alignment horizontal="left" vertical="center" wrapText="1"/>
    </xf>
    <xf numFmtId="0" fontId="76" fillId="29" borderId="17" xfId="0" applyFont="1" applyFill="1" applyBorder="1" applyAlignment="1">
      <alignment horizontal="left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5" fillId="29" borderId="17" xfId="0" applyFont="1" applyFill="1" applyBorder="1" applyAlignment="1">
      <alignment horizontal="center" vertical="center"/>
    </xf>
    <xf numFmtId="0" fontId="65" fillId="29" borderId="17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vertical="center" wrapText="1"/>
    </xf>
    <xf numFmtId="178" fontId="63" fillId="29" borderId="3" xfId="0" applyNumberFormat="1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left" vertical="center" wrapText="1"/>
    </xf>
    <xf numFmtId="178" fontId="65" fillId="29" borderId="3" xfId="0" applyNumberFormat="1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vertical="center" wrapText="1"/>
    </xf>
    <xf numFmtId="0" fontId="65" fillId="29" borderId="16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horizontal="left" vertical="center" wrapText="1"/>
    </xf>
    <xf numFmtId="49" fontId="75" fillId="29" borderId="3" xfId="0" applyNumberFormat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left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vertical="center"/>
    </xf>
    <xf numFmtId="0" fontId="65" fillId="29" borderId="0" xfId="0" applyFont="1" applyFill="1" applyBorder="1" applyAlignment="1">
      <alignment vertical="center" wrapText="1"/>
    </xf>
    <xf numFmtId="170" fontId="65" fillId="30" borderId="0" xfId="0" applyNumberFormat="1" applyFont="1" applyFill="1" applyBorder="1" applyAlignment="1">
      <alignment horizontal="right" vertical="center" wrapText="1"/>
    </xf>
    <xf numFmtId="0" fontId="77" fillId="29" borderId="3" xfId="0" applyFont="1" applyFill="1" applyBorder="1" applyAlignment="1">
      <alignment horizontal="center" vertical="center" wrapText="1"/>
    </xf>
    <xf numFmtId="0" fontId="63" fillId="29" borderId="3" xfId="0" quotePrefix="1" applyFont="1" applyFill="1" applyBorder="1" applyAlignment="1">
      <alignment horizontal="center" vertical="center"/>
    </xf>
    <xf numFmtId="0" fontId="65" fillId="29" borderId="3" xfId="0" quotePrefix="1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vertical="center"/>
    </xf>
    <xf numFmtId="179" fontId="63" fillId="29" borderId="0" xfId="0" applyNumberFormat="1" applyFont="1" applyFill="1" applyBorder="1" applyAlignment="1">
      <alignment vertical="center"/>
    </xf>
    <xf numFmtId="179" fontId="65" fillId="29" borderId="0" xfId="0" applyNumberFormat="1" applyFont="1" applyFill="1" applyBorder="1" applyAlignment="1">
      <alignment vertical="center"/>
    </xf>
    <xf numFmtId="0" fontId="75" fillId="29" borderId="0" xfId="0" applyFont="1" applyFill="1" applyBorder="1" applyAlignment="1">
      <alignment vertical="center"/>
    </xf>
    <xf numFmtId="0" fontId="81" fillId="29" borderId="0" xfId="0" applyFont="1" applyFill="1" applyBorder="1" applyAlignment="1">
      <alignment vertical="center"/>
    </xf>
    <xf numFmtId="179" fontId="75" fillId="29" borderId="0" xfId="0" applyNumberFormat="1" applyFont="1" applyFill="1" applyBorder="1" applyAlignment="1">
      <alignment vertical="center"/>
    </xf>
    <xf numFmtId="49" fontId="73" fillId="29" borderId="3" xfId="0" applyNumberFormat="1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left" vertical="center"/>
    </xf>
    <xf numFmtId="0" fontId="64" fillId="29" borderId="15" xfId="0" applyFont="1" applyFill="1" applyBorder="1" applyAlignment="1">
      <alignment horizontal="left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/>
    </xf>
    <xf numFmtId="178" fontId="76" fillId="29" borderId="3" xfId="0" applyNumberFormat="1" applyFont="1" applyFill="1" applyBorder="1" applyAlignment="1">
      <alignment horizontal="center" vertical="center" wrapText="1"/>
    </xf>
    <xf numFmtId="0" fontId="65" fillId="29" borderId="15" xfId="0" applyFont="1" applyFill="1" applyBorder="1" applyAlignment="1">
      <alignment vertical="center"/>
    </xf>
    <xf numFmtId="0" fontId="63" fillId="29" borderId="15" xfId="0" applyFont="1" applyFill="1" applyBorder="1" applyAlignment="1">
      <alignment vertical="center"/>
    </xf>
    <xf numFmtId="0" fontId="65" fillId="29" borderId="15" xfId="0" applyFont="1" applyFill="1" applyBorder="1" applyAlignment="1">
      <alignment horizontal="center" vertical="center"/>
    </xf>
    <xf numFmtId="0" fontId="76" fillId="29" borderId="32" xfId="0" applyFont="1" applyFill="1" applyBorder="1" applyAlignment="1">
      <alignment horizontal="left" vertical="center"/>
    </xf>
    <xf numFmtId="49" fontId="82" fillId="29" borderId="3" xfId="0" applyNumberFormat="1" applyFont="1" applyFill="1" applyBorder="1" applyAlignment="1">
      <alignment horizontal="center" vertical="center"/>
    </xf>
    <xf numFmtId="0" fontId="82" fillId="29" borderId="3" xfId="0" applyFont="1" applyFill="1" applyBorder="1" applyAlignment="1">
      <alignment horizontal="center" vertical="center"/>
    </xf>
    <xf numFmtId="49" fontId="78" fillId="29" borderId="3" xfId="0" applyNumberFormat="1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center" vertical="center"/>
    </xf>
    <xf numFmtId="0" fontId="76" fillId="29" borderId="15" xfId="0" applyFont="1" applyFill="1" applyBorder="1" applyAlignment="1">
      <alignment vertical="center"/>
    </xf>
    <xf numFmtId="0" fontId="64" fillId="29" borderId="3" xfId="0" applyFont="1" applyFill="1" applyBorder="1" applyAlignment="1">
      <alignment horizontal="center" vertical="center"/>
    </xf>
    <xf numFmtId="0" fontId="76" fillId="29" borderId="15" xfId="0" applyFont="1" applyFill="1" applyBorder="1" applyAlignment="1">
      <alignment vertical="center" wrapText="1"/>
    </xf>
    <xf numFmtId="49" fontId="64" fillId="29" borderId="15" xfId="0" applyNumberFormat="1" applyFont="1" applyFill="1" applyBorder="1" applyAlignment="1">
      <alignment horizontal="center" vertical="center"/>
    </xf>
    <xf numFmtId="0" fontId="76" fillId="29" borderId="33" xfId="0" applyFont="1" applyFill="1" applyBorder="1" applyAlignment="1">
      <alignment vertical="center" wrapText="1"/>
    </xf>
    <xf numFmtId="0" fontId="65" fillId="29" borderId="18" xfId="0" applyFont="1" applyFill="1" applyBorder="1" applyAlignment="1">
      <alignment vertical="center" wrapText="1"/>
    </xf>
    <xf numFmtId="0" fontId="76" fillId="29" borderId="33" xfId="0" applyFont="1" applyFill="1" applyBorder="1" applyAlignment="1">
      <alignment horizontal="left" vertical="center" wrapText="1"/>
    </xf>
    <xf numFmtId="49" fontId="66" fillId="29" borderId="16" xfId="0" applyNumberFormat="1" applyFont="1" applyFill="1" applyBorder="1" applyAlignment="1">
      <alignment horizontal="center" vertical="center"/>
    </xf>
    <xf numFmtId="0" fontId="82" fillId="29" borderId="3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170" fontId="65" fillId="29" borderId="0" xfId="0" applyNumberFormat="1" applyFont="1" applyFill="1" applyBorder="1" applyAlignment="1">
      <alignment horizontal="left" vertical="center" wrapText="1"/>
    </xf>
    <xf numFmtId="0" fontId="65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3" fillId="29" borderId="15" xfId="0" applyFont="1" applyFill="1" applyBorder="1" applyAlignment="1">
      <alignment horizontal="left" vertical="center" wrapText="1"/>
    </xf>
    <xf numFmtId="0" fontId="63" fillId="29" borderId="15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left" vertical="center" wrapText="1"/>
    </xf>
    <xf numFmtId="0" fontId="65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5" fillId="29" borderId="0" xfId="0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left" vertical="center" wrapText="1"/>
    </xf>
    <xf numFmtId="0" fontId="65" fillId="29" borderId="0" xfId="0" applyFont="1" applyFill="1" applyBorder="1" applyAlignment="1">
      <alignment horizontal="center" vertical="center"/>
    </xf>
    <xf numFmtId="0" fontId="65" fillId="29" borderId="13" xfId="0" applyFont="1" applyFill="1" applyBorder="1" applyAlignment="1">
      <alignment horizontal="center" vertical="center"/>
    </xf>
    <xf numFmtId="0" fontId="65" fillId="29" borderId="17" xfId="0" applyFont="1" applyFill="1" applyBorder="1" applyAlignment="1">
      <alignment horizontal="center" vertical="center" wrapText="1" shrinkToFit="1"/>
    </xf>
    <xf numFmtId="0" fontId="65" fillId="29" borderId="16" xfId="0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vertical="center"/>
    </xf>
    <xf numFmtId="178" fontId="75" fillId="29" borderId="3" xfId="0" applyNumberFormat="1" applyFont="1" applyFill="1" applyBorder="1" applyAlignment="1">
      <alignment horizontal="center" vertical="center" wrapText="1"/>
    </xf>
    <xf numFmtId="0" fontId="76" fillId="29" borderId="3" xfId="353" applyFont="1" applyFill="1" applyBorder="1" applyAlignment="1">
      <alignment vertical="center" wrapText="1"/>
    </xf>
    <xf numFmtId="178" fontId="65" fillId="29" borderId="3" xfId="0" applyNumberFormat="1" applyFont="1" applyFill="1" applyBorder="1" applyAlignment="1">
      <alignment vertical="center"/>
    </xf>
    <xf numFmtId="0" fontId="65" fillId="29" borderId="15" xfId="353" applyFont="1" applyFill="1" applyBorder="1" applyAlignment="1">
      <alignment vertical="center" wrapText="1"/>
    </xf>
    <xf numFmtId="0" fontId="64" fillId="29" borderId="3" xfId="0" quotePrefix="1" applyFont="1" applyFill="1" applyBorder="1" applyAlignment="1">
      <alignment horizontal="center" vertical="center"/>
    </xf>
    <xf numFmtId="0" fontId="76" fillId="29" borderId="3" xfId="0" applyFont="1" applyFill="1" applyBorder="1" applyAlignment="1">
      <alignment vertical="top" wrapText="1"/>
    </xf>
    <xf numFmtId="178" fontId="65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right" vertical="center"/>
    </xf>
    <xf numFmtId="0" fontId="62" fillId="29" borderId="0" xfId="0" applyFont="1" applyFill="1" applyAlignment="1">
      <alignment vertical="center"/>
    </xf>
    <xf numFmtId="0" fontId="66" fillId="29" borderId="0" xfId="0" applyFont="1" applyFill="1" applyBorder="1" applyAlignment="1">
      <alignment horizontal="left" vertical="center"/>
    </xf>
    <xf numFmtId="0" fontId="62" fillId="29" borderId="13" xfId="0" applyFont="1" applyFill="1" applyBorder="1" applyAlignment="1">
      <alignment vertical="center"/>
    </xf>
    <xf numFmtId="0" fontId="62" fillId="29" borderId="17" xfId="0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 vertical="center" wrapText="1"/>
    </xf>
    <xf numFmtId="169" fontId="62" fillId="29" borderId="0" xfId="0" applyNumberFormat="1" applyFont="1" applyFill="1" applyBorder="1" applyAlignment="1">
      <alignment horizontal="center" vertical="center" wrapText="1"/>
    </xf>
    <xf numFmtId="0" fontId="66" fillId="29" borderId="0" xfId="0" applyFont="1" applyFill="1" applyBorder="1" applyAlignment="1">
      <alignment horizontal="right" vertical="center"/>
    </xf>
    <xf numFmtId="169" fontId="66" fillId="29" borderId="0" xfId="0" applyNumberFormat="1" applyFont="1" applyFill="1" applyBorder="1" applyAlignment="1">
      <alignment horizontal="right" vertical="center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Alignment="1"/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Border="1" applyAlignment="1"/>
    <xf numFmtId="0" fontId="68" fillId="29" borderId="0" xfId="0" applyFont="1" applyFill="1" applyBorder="1" applyAlignment="1">
      <alignment horizontal="center" vertical="center"/>
    </xf>
    <xf numFmtId="0" fontId="68" fillId="29" borderId="19" xfId="0" applyFont="1" applyFill="1" applyBorder="1" applyAlignment="1">
      <alignment horizontal="center" vertical="center"/>
    </xf>
    <xf numFmtId="0" fontId="62" fillId="29" borderId="19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 wrapText="1" shrinkToFit="1"/>
    </xf>
    <xf numFmtId="0" fontId="62" fillId="29" borderId="0" xfId="0" applyFont="1" applyFill="1" applyBorder="1" applyAlignment="1">
      <alignment vertical="center" wrapText="1" shrinkToFit="1"/>
    </xf>
    <xf numFmtId="0" fontId="73" fillId="29" borderId="0" xfId="0" applyFont="1" applyFill="1" applyAlignment="1">
      <alignment vertical="center"/>
    </xf>
    <xf numFmtId="0" fontId="66" fillId="29" borderId="0" xfId="0" applyFont="1" applyFill="1" applyBorder="1" applyAlignment="1">
      <alignment vertical="center"/>
    </xf>
    <xf numFmtId="178" fontId="63" fillId="29" borderId="0" xfId="0" applyNumberFormat="1" applyFont="1" applyFill="1" applyBorder="1" applyAlignment="1">
      <alignment vertical="center"/>
    </xf>
    <xf numFmtId="179" fontId="65" fillId="29" borderId="0" xfId="0" applyNumberFormat="1" applyFont="1" applyFill="1" applyBorder="1" applyAlignment="1">
      <alignment horizontal="right"/>
    </xf>
    <xf numFmtId="0" fontId="78" fillId="29" borderId="15" xfId="0" applyFont="1" applyFill="1" applyBorder="1" applyAlignment="1">
      <alignment vertical="center" wrapText="1"/>
    </xf>
    <xf numFmtId="178" fontId="64" fillId="29" borderId="3" xfId="0" applyNumberFormat="1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vertical="center" wrapText="1"/>
    </xf>
    <xf numFmtId="0" fontId="75" fillId="29" borderId="3" xfId="0" applyFont="1" applyFill="1" applyBorder="1" applyAlignment="1">
      <alignment horizontal="left" vertical="center" wrapText="1"/>
    </xf>
    <xf numFmtId="178" fontId="75" fillId="29" borderId="3" xfId="0" applyNumberFormat="1" applyFont="1" applyFill="1" applyBorder="1" applyAlignment="1">
      <alignment horizontal="center" vertical="center"/>
    </xf>
    <xf numFmtId="0" fontId="64" fillId="29" borderId="15" xfId="0" applyFont="1" applyFill="1" applyBorder="1" applyAlignment="1">
      <alignment vertical="center" wrapText="1"/>
    </xf>
    <xf numFmtId="0" fontId="81" fillId="29" borderId="3" xfId="0" applyFont="1" applyFill="1" applyBorder="1" applyAlignment="1">
      <alignment horizontal="left" vertical="center" wrapText="1"/>
    </xf>
    <xf numFmtId="0" fontId="81" fillId="29" borderId="3" xfId="0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vertical="center" wrapText="1"/>
    </xf>
    <xf numFmtId="0" fontId="75" fillId="29" borderId="3" xfId="0" applyFont="1" applyFill="1" applyBorder="1" applyAlignment="1">
      <alignment horizontal="left" vertical="center"/>
    </xf>
    <xf numFmtId="0" fontId="81" fillId="29" borderId="3" xfId="0" applyFont="1" applyFill="1" applyBorder="1" applyAlignment="1">
      <alignment horizontal="center" vertical="center" wrapText="1"/>
    </xf>
    <xf numFmtId="0" fontId="78" fillId="29" borderId="16" xfId="0" applyFont="1" applyFill="1" applyBorder="1" applyAlignment="1">
      <alignment horizontal="left" vertical="center" wrapText="1"/>
    </xf>
    <xf numFmtId="0" fontId="78" fillId="29" borderId="3" xfId="0" quotePrefix="1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horizontal="center" vertical="center"/>
    </xf>
    <xf numFmtId="0" fontId="78" fillId="29" borderId="15" xfId="0" applyFont="1" applyFill="1" applyBorder="1" applyAlignment="1">
      <alignment vertical="center"/>
    </xf>
    <xf numFmtId="49" fontId="81" fillId="29" borderId="3" xfId="0" applyNumberFormat="1" applyFont="1" applyFill="1" applyBorder="1" applyAlignment="1">
      <alignment horizontal="center" vertical="center"/>
    </xf>
    <xf numFmtId="0" fontId="81" fillId="29" borderId="14" xfId="0" applyFont="1" applyFill="1" applyBorder="1" applyAlignment="1">
      <alignment horizontal="left" vertical="center"/>
    </xf>
    <xf numFmtId="49" fontId="75" fillId="29" borderId="15" xfId="0" applyNumberFormat="1" applyFont="1" applyFill="1" applyBorder="1" applyAlignment="1">
      <alignment horizontal="center" vertical="center"/>
    </xf>
    <xf numFmtId="0" fontId="75" fillId="29" borderId="3" xfId="182" applyFont="1" applyFill="1" applyBorder="1" applyAlignment="1">
      <alignment vertical="center" wrapText="1"/>
      <protection locked="0"/>
    </xf>
    <xf numFmtId="49" fontId="75" fillId="29" borderId="16" xfId="0" applyNumberFormat="1" applyFont="1" applyFill="1" applyBorder="1" applyAlignment="1">
      <alignment horizontal="center" vertical="center"/>
    </xf>
    <xf numFmtId="0" fontId="75" fillId="29" borderId="17" xfId="0" applyFont="1" applyFill="1" applyBorder="1" applyAlignment="1">
      <alignment horizontal="left" vertical="center" wrapText="1"/>
    </xf>
    <xf numFmtId="179" fontId="63" fillId="29" borderId="3" xfId="0" applyNumberFormat="1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horizontal="right" vertical="center"/>
    </xf>
    <xf numFmtId="178" fontId="65" fillId="29" borderId="0" xfId="0" applyNumberFormat="1" applyFont="1" applyFill="1" applyBorder="1" applyAlignment="1">
      <alignment horizontal="right"/>
    </xf>
    <xf numFmtId="0" fontId="83" fillId="29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vertical="center"/>
    </xf>
    <xf numFmtId="178" fontId="65" fillId="0" borderId="3" xfId="0" applyNumberFormat="1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62" fillId="0" borderId="17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 wrapText="1"/>
    </xf>
    <xf numFmtId="0" fontId="76" fillId="29" borderId="15" xfId="0" applyFont="1" applyFill="1" applyBorder="1" applyAlignment="1">
      <alignment horizontal="left" vertical="center" wrapText="1"/>
    </xf>
    <xf numFmtId="0" fontId="76" fillId="29" borderId="16" xfId="0" applyFont="1" applyFill="1" applyBorder="1" applyAlignment="1">
      <alignment horizontal="left" vertical="center" wrapText="1"/>
    </xf>
    <xf numFmtId="178" fontId="62" fillId="0" borderId="3" xfId="0" applyNumberFormat="1" applyFont="1" applyFill="1" applyBorder="1" applyAlignment="1">
      <alignment horizontal="center" vertical="center" wrapText="1"/>
    </xf>
    <xf numFmtId="177" fontId="66" fillId="0" borderId="3" xfId="0" applyNumberFormat="1" applyFont="1" applyFill="1" applyBorder="1" applyAlignment="1">
      <alignment horizontal="center" vertical="center" wrapText="1"/>
    </xf>
    <xf numFmtId="177" fontId="62" fillId="0" borderId="3" xfId="0" applyNumberFormat="1" applyFont="1" applyFill="1" applyBorder="1" applyAlignment="1">
      <alignment horizontal="center" vertical="center" wrapText="1"/>
    </xf>
    <xf numFmtId="177" fontId="62" fillId="0" borderId="23" xfId="0" applyNumberFormat="1" applyFont="1" applyFill="1" applyBorder="1" applyAlignment="1">
      <alignment horizontal="center" vertical="center" wrapText="1"/>
    </xf>
    <xf numFmtId="178" fontId="66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left" vertical="center" wrapText="1"/>
    </xf>
    <xf numFmtId="0" fontId="63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18" xfId="0" applyFont="1" applyFill="1" applyBorder="1" applyAlignment="1">
      <alignment horizontal="left" vertical="center"/>
    </xf>
    <xf numFmtId="0" fontId="65" fillId="0" borderId="3" xfId="0" applyFont="1" applyFill="1" applyBorder="1" applyAlignment="1">
      <alignment horizontal="center" vertical="center" wrapText="1"/>
    </xf>
    <xf numFmtId="178" fontId="63" fillId="0" borderId="3" xfId="0" applyNumberFormat="1" applyFont="1" applyFill="1" applyBorder="1" applyAlignment="1">
      <alignment horizontal="center" vertical="center" wrapText="1"/>
    </xf>
    <xf numFmtId="0" fontId="62" fillId="0" borderId="13" xfId="0" applyFont="1" applyFill="1" applyBorder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2" fillId="0" borderId="3" xfId="0" applyFont="1" applyFill="1" applyBorder="1" applyAlignment="1">
      <alignment horizontal="center" vertical="center"/>
    </xf>
    <xf numFmtId="178" fontId="62" fillId="0" borderId="3" xfId="0" applyNumberFormat="1" applyFont="1" applyFill="1" applyBorder="1" applyAlignment="1">
      <alignment horizontal="center" vertical="center"/>
    </xf>
    <xf numFmtId="170" fontId="62" fillId="29" borderId="3" xfId="0" applyNumberFormat="1" applyFont="1" applyFill="1" applyBorder="1" applyAlignment="1">
      <alignment horizontal="right" vertical="center" wrapText="1"/>
    </xf>
    <xf numFmtId="170" fontId="62" fillId="29" borderId="12" xfId="0" applyNumberFormat="1" applyFont="1" applyFill="1" applyBorder="1" applyAlignment="1">
      <alignment horizontal="right" vertical="center" wrapText="1"/>
    </xf>
    <xf numFmtId="170" fontId="66" fillId="29" borderId="23" xfId="0" applyNumberFormat="1" applyFont="1" applyFill="1" applyBorder="1" applyAlignment="1">
      <alignment horizontal="right" vertical="center" wrapText="1"/>
    </xf>
    <xf numFmtId="170" fontId="66" fillId="29" borderId="26" xfId="0" applyNumberFormat="1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center" wrapText="1"/>
    </xf>
    <xf numFmtId="0" fontId="70" fillId="29" borderId="0" xfId="0" applyFont="1" applyFill="1" applyBorder="1" applyAlignment="1">
      <alignment horizontal="center" wrapText="1"/>
    </xf>
    <xf numFmtId="0" fontId="63" fillId="29" borderId="3" xfId="0" applyFont="1" applyFill="1" applyBorder="1" applyAlignment="1">
      <alignment horizontal="center" vertical="center"/>
    </xf>
    <xf numFmtId="0" fontId="77" fillId="29" borderId="3" xfId="0" applyFont="1" applyFill="1" applyBorder="1" applyAlignment="1">
      <alignment horizontal="left" vertical="center" wrapText="1"/>
    </xf>
    <xf numFmtId="0" fontId="77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left" vertical="center"/>
    </xf>
    <xf numFmtId="49" fontId="77" fillId="29" borderId="3" xfId="0" applyNumberFormat="1" applyFont="1" applyFill="1" applyBorder="1" applyAlignment="1">
      <alignment horizontal="center" vertical="center"/>
    </xf>
    <xf numFmtId="0" fontId="77" fillId="29" borderId="32" xfId="0" applyFont="1" applyFill="1" applyBorder="1" applyAlignment="1">
      <alignment horizontal="left" vertical="center" wrapText="1"/>
    </xf>
    <xf numFmtId="0" fontId="63" fillId="29" borderId="18" xfId="0" applyFont="1" applyFill="1" applyBorder="1" applyAlignment="1">
      <alignment horizontal="left" vertical="center"/>
    </xf>
    <xf numFmtId="0" fontId="77" fillId="29" borderId="3" xfId="0" applyFont="1" applyFill="1" applyBorder="1" applyAlignment="1">
      <alignment vertical="center" wrapText="1"/>
    </xf>
    <xf numFmtId="0" fontId="77" fillId="29" borderId="17" xfId="0" applyFont="1" applyFill="1" applyBorder="1" applyAlignment="1">
      <alignment horizontal="left" vertical="center" wrapText="1"/>
    </xf>
    <xf numFmtId="0" fontId="66" fillId="29" borderId="27" xfId="0" applyFont="1" applyFill="1" applyBorder="1" applyAlignment="1">
      <alignment horizontal="center" vertical="center" wrapText="1"/>
    </xf>
    <xf numFmtId="0" fontId="66" fillId="29" borderId="28" xfId="0" applyFont="1" applyFill="1" applyBorder="1" applyAlignment="1">
      <alignment horizontal="center" vertical="center" wrapText="1"/>
    </xf>
    <xf numFmtId="0" fontId="66" fillId="29" borderId="29" xfId="0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/>
    </xf>
    <xf numFmtId="0" fontId="62" fillId="0" borderId="14" xfId="0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67" fillId="29" borderId="0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vertical="center"/>
    </xf>
    <xf numFmtId="0" fontId="67" fillId="29" borderId="30" xfId="0" applyFont="1" applyFill="1" applyBorder="1" applyAlignment="1">
      <alignment horizontal="center" vertical="center"/>
    </xf>
    <xf numFmtId="0" fontId="67" fillId="29" borderId="24" xfId="0" applyFont="1" applyFill="1" applyBorder="1" applyAlignment="1">
      <alignment horizontal="center" vertical="center"/>
    </xf>
    <xf numFmtId="0" fontId="67" fillId="29" borderId="25" xfId="0" applyFont="1" applyFill="1" applyBorder="1" applyAlignment="1">
      <alignment horizontal="center" vertical="center"/>
    </xf>
    <xf numFmtId="0" fontId="67" fillId="29" borderId="27" xfId="0" applyFont="1" applyFill="1" applyBorder="1" applyAlignment="1" applyProtection="1">
      <alignment horizontal="center" vertical="center"/>
      <protection locked="0"/>
    </xf>
    <xf numFmtId="0" fontId="67" fillId="29" borderId="28" xfId="0" applyFont="1" applyFill="1" applyBorder="1" applyAlignment="1" applyProtection="1">
      <alignment horizontal="center" vertical="center"/>
      <protection locked="0"/>
    </xf>
    <xf numFmtId="0" fontId="67" fillId="29" borderId="29" xfId="0" applyFont="1" applyFill="1" applyBorder="1" applyAlignment="1" applyProtection="1">
      <alignment horizontal="center" vertical="center"/>
      <protection locked="0"/>
    </xf>
    <xf numFmtId="0" fontId="62" fillId="0" borderId="17" xfId="0" applyFont="1" applyFill="1" applyBorder="1" applyAlignment="1">
      <alignment horizontal="center" vertical="center"/>
    </xf>
    <xf numFmtId="0" fontId="62" fillId="0" borderId="18" xfId="0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 wrapText="1"/>
    </xf>
    <xf numFmtId="0" fontId="67" fillId="29" borderId="30" xfId="0" applyFont="1" applyFill="1" applyBorder="1" applyAlignment="1">
      <alignment horizontal="center" vertical="center" wrapText="1"/>
    </xf>
    <xf numFmtId="0" fontId="67" fillId="29" borderId="24" xfId="0" applyFont="1" applyFill="1" applyBorder="1" applyAlignment="1">
      <alignment horizontal="center" vertical="center" wrapText="1"/>
    </xf>
    <xf numFmtId="0" fontId="67" fillId="29" borderId="25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170" fontId="62" fillId="0" borderId="13" xfId="0" applyNumberFormat="1" applyFont="1" applyFill="1" applyBorder="1" applyAlignment="1">
      <alignment horizontal="center" vertical="center" wrapText="1"/>
    </xf>
    <xf numFmtId="170" fontId="62" fillId="0" borderId="13" xfId="0" quotePrefix="1" applyNumberFormat="1" applyFont="1" applyFill="1" applyBorder="1" applyAlignment="1">
      <alignment horizontal="center" vertical="center" wrapText="1"/>
    </xf>
    <xf numFmtId="0" fontId="66" fillId="0" borderId="13" xfId="0" applyFont="1" applyFill="1" applyBorder="1" applyAlignment="1">
      <alignment horizontal="center"/>
    </xf>
    <xf numFmtId="0" fontId="67" fillId="29" borderId="27" xfId="0" applyFont="1" applyFill="1" applyBorder="1" applyAlignment="1">
      <alignment horizontal="center" vertical="center"/>
    </xf>
    <xf numFmtId="0" fontId="67" fillId="29" borderId="28" xfId="0" applyFont="1" applyFill="1" applyBorder="1" applyAlignment="1">
      <alignment horizontal="center" vertical="center"/>
    </xf>
    <xf numFmtId="0" fontId="67" fillId="29" borderId="29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center" vertical="center" wrapText="1"/>
    </xf>
    <xf numFmtId="170" fontId="65" fillId="29" borderId="13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3" fillId="29" borderId="15" xfId="0" applyFont="1" applyFill="1" applyBorder="1" applyAlignment="1">
      <alignment horizontal="center" vertical="center"/>
    </xf>
    <xf numFmtId="0" fontId="63" fillId="29" borderId="16" xfId="0" applyFont="1" applyFill="1" applyBorder="1" applyAlignment="1">
      <alignment horizontal="center" vertical="center"/>
    </xf>
    <xf numFmtId="0" fontId="63" fillId="29" borderId="15" xfId="0" applyFont="1" applyFill="1" applyBorder="1" applyAlignment="1">
      <alignment horizontal="left" vertical="center" wrapText="1"/>
    </xf>
    <xf numFmtId="0" fontId="63" fillId="29" borderId="16" xfId="0" applyFont="1" applyFill="1" applyBorder="1" applyAlignment="1">
      <alignment horizontal="left" vertical="center" wrapText="1"/>
    </xf>
    <xf numFmtId="0" fontId="63" fillId="29" borderId="15" xfId="0" applyFont="1" applyFill="1" applyBorder="1" applyAlignment="1">
      <alignment horizontal="center" vertical="center" wrapText="1"/>
    </xf>
    <xf numFmtId="0" fontId="63" fillId="29" borderId="16" xfId="0" applyFont="1" applyFill="1" applyBorder="1" applyAlignment="1">
      <alignment horizontal="center" vertical="center" wrapText="1"/>
    </xf>
    <xf numFmtId="0" fontId="63" fillId="29" borderId="15" xfId="0" applyFont="1" applyFill="1" applyBorder="1" applyAlignment="1">
      <alignment horizontal="left" vertical="center"/>
    </xf>
    <xf numFmtId="0" fontId="63" fillId="29" borderId="16" xfId="0" applyFont="1" applyFill="1" applyBorder="1" applyAlignment="1">
      <alignment horizontal="left" vertical="center"/>
    </xf>
    <xf numFmtId="0" fontId="63" fillId="0" borderId="15" xfId="0" applyFont="1" applyFill="1" applyBorder="1" applyAlignment="1">
      <alignment horizontal="left" vertical="center"/>
    </xf>
    <xf numFmtId="0" fontId="63" fillId="0" borderId="16" xfId="0" applyFont="1" applyFill="1" applyBorder="1" applyAlignment="1">
      <alignment horizontal="left" vertical="center"/>
    </xf>
    <xf numFmtId="0" fontId="63" fillId="0" borderId="13" xfId="0" applyFont="1" applyFill="1" applyBorder="1" applyAlignment="1">
      <alignment horizontal="center"/>
    </xf>
    <xf numFmtId="0" fontId="65" fillId="29" borderId="19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 wrapText="1"/>
    </xf>
    <xf numFmtId="170" fontId="65" fillId="29" borderId="13" xfId="0" applyNumberFormat="1" applyFont="1" applyFill="1" applyBorder="1" applyAlignment="1">
      <alignment horizontal="left" vertical="center" wrapText="1"/>
    </xf>
    <xf numFmtId="0" fontId="65" fillId="29" borderId="0" xfId="0" applyFont="1" applyFill="1" applyBorder="1" applyAlignment="1">
      <alignment horizontal="center" vertical="center"/>
    </xf>
    <xf numFmtId="0" fontId="63" fillId="29" borderId="13" xfId="0" applyFont="1" applyFill="1" applyBorder="1" applyAlignment="1">
      <alignment horizontal="center"/>
    </xf>
    <xf numFmtId="170" fontId="63" fillId="0" borderId="13" xfId="0" quotePrefix="1" applyNumberFormat="1" applyFont="1" applyFill="1" applyBorder="1" applyAlignment="1">
      <alignment horizontal="center" wrapText="1"/>
    </xf>
    <xf numFmtId="0" fontId="65" fillId="29" borderId="15" xfId="0" applyFont="1" applyFill="1" applyBorder="1" applyAlignment="1">
      <alignment horizontal="left" vertical="center" wrapText="1"/>
    </xf>
    <xf numFmtId="0" fontId="65" fillId="29" borderId="14" xfId="0" applyFont="1" applyFill="1" applyBorder="1" applyAlignment="1">
      <alignment horizontal="left" vertical="center" wrapText="1"/>
    </xf>
    <xf numFmtId="0" fontId="65" fillId="29" borderId="16" xfId="0" applyFont="1" applyFill="1" applyBorder="1" applyAlignment="1">
      <alignment horizontal="left" vertical="center" wrapText="1"/>
    </xf>
    <xf numFmtId="0" fontId="76" fillId="29" borderId="15" xfId="0" applyFont="1" applyFill="1" applyBorder="1" applyAlignment="1">
      <alignment horizontal="left" vertical="center" wrapText="1"/>
    </xf>
    <xf numFmtId="0" fontId="76" fillId="29" borderId="14" xfId="0" applyFont="1" applyFill="1" applyBorder="1" applyAlignment="1">
      <alignment horizontal="left" vertical="center" wrapText="1"/>
    </xf>
    <xf numFmtId="0" fontId="76" fillId="29" borderId="16" xfId="0" applyFont="1" applyFill="1" applyBorder="1" applyAlignment="1">
      <alignment horizontal="left" vertical="center" wrapText="1"/>
    </xf>
    <xf numFmtId="0" fontId="73" fillId="29" borderId="0" xfId="0" applyFont="1" applyFill="1" applyAlignment="1">
      <alignment vertical="center" wrapText="1"/>
    </xf>
    <xf numFmtId="0" fontId="74" fillId="29" borderId="0" xfId="0" applyFont="1" applyFill="1" applyAlignment="1">
      <alignment vertical="center" wrapText="1"/>
    </xf>
    <xf numFmtId="0" fontId="62" fillId="29" borderId="0" xfId="0" applyFont="1" applyFill="1" applyAlignment="1">
      <alignment horizontal="center" vertical="center"/>
    </xf>
    <xf numFmtId="0" fontId="69" fillId="29" borderId="0" xfId="0" applyFont="1" applyFill="1" applyBorder="1" applyAlignment="1">
      <alignment horizontal="center" wrapText="1"/>
    </xf>
    <xf numFmtId="0" fontId="72" fillId="29" borderId="0" xfId="0" applyFont="1" applyFill="1" applyAlignment="1">
      <alignment horizontal="center"/>
    </xf>
    <xf numFmtId="0" fontId="62" fillId="29" borderId="0" xfId="0" applyFont="1" applyFill="1" applyBorder="1" applyAlignment="1">
      <alignment horizontal="center"/>
    </xf>
    <xf numFmtId="3" fontId="66" fillId="29" borderId="15" xfId="0" applyNumberFormat="1" applyFont="1" applyFill="1" applyBorder="1" applyAlignment="1">
      <alignment horizontal="left" vertical="center" wrapText="1"/>
    </xf>
    <xf numFmtId="3" fontId="66" fillId="29" borderId="14" xfId="0" applyNumberFormat="1" applyFont="1" applyFill="1" applyBorder="1" applyAlignment="1">
      <alignment horizontal="left" vertical="center" wrapText="1"/>
    </xf>
    <xf numFmtId="0" fontId="85" fillId="0" borderId="0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6" fillId="29" borderId="15" xfId="0" applyFont="1" applyFill="1" applyBorder="1" applyAlignment="1">
      <alignment horizontal="left" vertical="center" wrapText="1"/>
    </xf>
    <xf numFmtId="0" fontId="66" fillId="29" borderId="14" xfId="0" applyFont="1" applyFill="1" applyBorder="1" applyAlignment="1">
      <alignment horizontal="left" vertical="center" wrapText="1"/>
    </xf>
    <xf numFmtId="0" fontId="66" fillId="29" borderId="16" xfId="0" applyFont="1" applyFill="1" applyBorder="1" applyAlignment="1">
      <alignment horizontal="left" vertical="center" wrapText="1"/>
    </xf>
    <xf numFmtId="0" fontId="65" fillId="29" borderId="15" xfId="353" applyFont="1" applyFill="1" applyBorder="1" applyAlignment="1">
      <alignment horizontal="left" vertical="center" wrapText="1"/>
    </xf>
    <xf numFmtId="0" fontId="65" fillId="29" borderId="14" xfId="353" applyFont="1" applyFill="1" applyBorder="1" applyAlignment="1">
      <alignment horizontal="left" vertical="center" wrapText="1"/>
    </xf>
    <xf numFmtId="0" fontId="65" fillId="29" borderId="16" xfId="353" applyFont="1" applyFill="1" applyBorder="1" applyAlignment="1">
      <alignment horizontal="left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 2" xfId="353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51"/>
  <sheetViews>
    <sheetView view="pageBreakPreview" topLeftCell="A37" zoomScale="60" zoomScaleNormal="75" workbookViewId="0">
      <selection activeCell="C57" sqref="C57"/>
    </sheetView>
  </sheetViews>
  <sheetFormatPr defaultRowHeight="20.25"/>
  <cols>
    <col min="1" max="1" width="65.42578125" style="2" customWidth="1"/>
    <col min="2" max="2" width="17.28515625" style="19" customWidth="1"/>
    <col min="3" max="4" width="18" style="19" customWidth="1"/>
    <col min="5" max="5" width="18.7109375" style="2" customWidth="1"/>
    <col min="6" max="6" width="19" style="2" customWidth="1"/>
    <col min="7" max="7" width="18.7109375" style="2" customWidth="1"/>
    <col min="8" max="8" width="19.7109375" style="2" customWidth="1"/>
    <col min="9" max="9" width="17.5703125" style="2" customWidth="1"/>
    <col min="10" max="10" width="16.85546875" style="2" customWidth="1"/>
    <col min="11" max="11" width="17.7109375" style="2" customWidth="1"/>
    <col min="12" max="12" width="12.5703125" style="2" customWidth="1"/>
    <col min="13" max="13" width="10.5703125" style="2" customWidth="1"/>
    <col min="14" max="16384" width="9.140625" style="2"/>
  </cols>
  <sheetData>
    <row r="1" spans="1:8" ht="103.5" customHeight="1">
      <c r="A1" s="259" t="s">
        <v>603</v>
      </c>
      <c r="B1" s="260"/>
      <c r="C1" s="260"/>
      <c r="D1" s="260"/>
      <c r="E1" s="260"/>
      <c r="F1" s="260"/>
      <c r="G1" s="260"/>
      <c r="H1" s="260"/>
    </row>
    <row r="2" spans="1:8" ht="19.5" customHeight="1">
      <c r="A2" s="258" t="s">
        <v>19</v>
      </c>
      <c r="B2" s="258"/>
      <c r="C2" s="258"/>
      <c r="D2" s="258"/>
      <c r="E2" s="258"/>
      <c r="F2" s="258"/>
      <c r="G2" s="258"/>
      <c r="H2" s="258"/>
    </row>
    <row r="3" spans="1:8" ht="23.25" customHeight="1">
      <c r="B3" s="3"/>
      <c r="C3" s="4"/>
      <c r="D3" s="3"/>
      <c r="E3" s="3"/>
      <c r="F3" s="3"/>
      <c r="G3" s="3"/>
      <c r="H3" s="5" t="s">
        <v>57</v>
      </c>
    </row>
    <row r="4" spans="1:8" ht="48.75" customHeight="1">
      <c r="A4" s="267" t="s">
        <v>24</v>
      </c>
      <c r="B4" s="269" t="s">
        <v>5</v>
      </c>
      <c r="C4" s="254" t="s">
        <v>124</v>
      </c>
      <c r="D4" s="254"/>
      <c r="E4" s="255" t="s">
        <v>457</v>
      </c>
      <c r="F4" s="256"/>
      <c r="G4" s="256"/>
      <c r="H4" s="257"/>
    </row>
    <row r="5" spans="1:8" ht="47.25" customHeight="1">
      <c r="A5" s="268"/>
      <c r="B5" s="270"/>
      <c r="C5" s="6" t="s">
        <v>456</v>
      </c>
      <c r="D5" s="6" t="s">
        <v>455</v>
      </c>
      <c r="E5" s="7" t="s">
        <v>109</v>
      </c>
      <c r="F5" s="7" t="s">
        <v>110</v>
      </c>
      <c r="G5" s="7" t="s">
        <v>111</v>
      </c>
      <c r="H5" s="7" t="s">
        <v>112</v>
      </c>
    </row>
    <row r="6" spans="1:8" ht="29.25" customHeight="1" thickBot="1">
      <c r="A6" s="37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56">
        <v>8</v>
      </c>
    </row>
    <row r="7" spans="1:8" ht="33" customHeight="1">
      <c r="A7" s="271" t="s">
        <v>98</v>
      </c>
      <c r="B7" s="272"/>
      <c r="C7" s="272"/>
      <c r="D7" s="272"/>
      <c r="E7" s="272"/>
      <c r="F7" s="272"/>
      <c r="G7" s="272"/>
      <c r="H7" s="273"/>
    </row>
    <row r="8" spans="1:8" ht="48.75" customHeight="1">
      <c r="A8" s="12" t="s">
        <v>125</v>
      </c>
      <c r="B8" s="8">
        <v>1000</v>
      </c>
      <c r="C8" s="1">
        <v>23213.4</v>
      </c>
      <c r="D8" s="1">
        <v>56359</v>
      </c>
      <c r="E8" s="1">
        <v>50216.800000000003</v>
      </c>
      <c r="F8" s="1">
        <v>56359</v>
      </c>
      <c r="G8" s="1">
        <f>F8-E8</f>
        <v>6142.1999999999971</v>
      </c>
      <c r="H8" s="46">
        <f>(F8/E8)*100</f>
        <v>112.23136480221758</v>
      </c>
    </row>
    <row r="9" spans="1:8" ht="47.25" customHeight="1">
      <c r="A9" s="12" t="s">
        <v>67</v>
      </c>
      <c r="B9" s="8">
        <v>1010</v>
      </c>
      <c r="C9" s="1">
        <f>SUM(C10:C14)</f>
        <v>-45397</v>
      </c>
      <c r="D9" s="1">
        <f>SUM(D10:D14)</f>
        <v>-65141.1</v>
      </c>
      <c r="E9" s="1">
        <f>SUM(E10:E14)</f>
        <v>-56467.6</v>
      </c>
      <c r="F9" s="1">
        <f>SUM(F10:F14)</f>
        <v>-65141.1</v>
      </c>
      <c r="G9" s="1">
        <f t="shared" ref="G9:G43" si="0">F9-E9</f>
        <v>-8673.5</v>
      </c>
      <c r="H9" s="46">
        <f t="shared" ref="H9:H43" si="1">(F9/E9)*100</f>
        <v>115.36013572384871</v>
      </c>
    </row>
    <row r="10" spans="1:8" ht="30" customHeight="1">
      <c r="A10" s="14" t="s">
        <v>68</v>
      </c>
      <c r="B10" s="9">
        <v>1011</v>
      </c>
      <c r="C10" s="10">
        <v>-7203.4</v>
      </c>
      <c r="D10" s="10">
        <v>-12265.4</v>
      </c>
      <c r="E10" s="10">
        <v>-7553</v>
      </c>
      <c r="F10" s="10">
        <v>-12265.4</v>
      </c>
      <c r="G10" s="10">
        <f t="shared" si="0"/>
        <v>-4712.3999999999996</v>
      </c>
      <c r="H10" s="47">
        <f t="shared" si="1"/>
        <v>162.39110287303058</v>
      </c>
    </row>
    <row r="11" spans="1:8" ht="28.5" customHeight="1">
      <c r="A11" s="14" t="s">
        <v>2</v>
      </c>
      <c r="B11" s="9">
        <v>1012</v>
      </c>
      <c r="C11" s="10">
        <v>-27687.8</v>
      </c>
      <c r="D11" s="10">
        <v>-38672.300000000003</v>
      </c>
      <c r="E11" s="10">
        <v>-36937.699999999997</v>
      </c>
      <c r="F11" s="10">
        <v>-38672.300000000003</v>
      </c>
      <c r="G11" s="10">
        <f t="shared" si="0"/>
        <v>-1734.6000000000058</v>
      </c>
      <c r="H11" s="47">
        <f t="shared" si="1"/>
        <v>104.69601518232052</v>
      </c>
    </row>
    <row r="12" spans="1:8" ht="29.25" customHeight="1">
      <c r="A12" s="14" t="s">
        <v>3</v>
      </c>
      <c r="B12" s="9">
        <v>1013</v>
      </c>
      <c r="C12" s="10">
        <v>-5941.1</v>
      </c>
      <c r="D12" s="10">
        <v>-8180.7</v>
      </c>
      <c r="E12" s="10">
        <v>-7950.5</v>
      </c>
      <c r="F12" s="10">
        <v>-8180.7</v>
      </c>
      <c r="G12" s="10">
        <f t="shared" si="0"/>
        <v>-230.19999999999982</v>
      </c>
      <c r="H12" s="47">
        <f t="shared" si="1"/>
        <v>102.89541538268033</v>
      </c>
    </row>
    <row r="13" spans="1:8" ht="29.25" customHeight="1">
      <c r="A13" s="14" t="s">
        <v>4</v>
      </c>
      <c r="B13" s="9">
        <v>1014</v>
      </c>
      <c r="C13" s="10">
        <v>-968.3</v>
      </c>
      <c r="D13" s="10">
        <v>-1288.0999999999999</v>
      </c>
      <c r="E13" s="10"/>
      <c r="F13" s="10">
        <v>-1288.0999999999999</v>
      </c>
      <c r="G13" s="10">
        <f t="shared" si="0"/>
        <v>-1288.0999999999999</v>
      </c>
      <c r="H13" s="47"/>
    </row>
    <row r="14" spans="1:8" ht="30" customHeight="1">
      <c r="A14" s="14" t="s">
        <v>50</v>
      </c>
      <c r="B14" s="9">
        <v>1015</v>
      </c>
      <c r="C14" s="10">
        <v>-3596.4</v>
      </c>
      <c r="D14" s="10">
        <v>-4734.6000000000004</v>
      </c>
      <c r="E14" s="10">
        <v>-4026.4</v>
      </c>
      <c r="F14" s="10">
        <v>-4734.6000000000004</v>
      </c>
      <c r="G14" s="10">
        <f t="shared" si="0"/>
        <v>-708.20000000000027</v>
      </c>
      <c r="H14" s="47">
        <f t="shared" si="1"/>
        <v>117.58891317305782</v>
      </c>
    </row>
    <row r="15" spans="1:8" ht="28.5" customHeight="1">
      <c r="A15" s="12" t="s">
        <v>26</v>
      </c>
      <c r="B15" s="9">
        <v>1020</v>
      </c>
      <c r="C15" s="1">
        <f>SUM(C8:C9)</f>
        <v>-22183.599999999999</v>
      </c>
      <c r="D15" s="1">
        <f>SUM(D8:D9)</f>
        <v>-8782.0999999999985</v>
      </c>
      <c r="E15" s="1">
        <f>SUM(E8:E9)</f>
        <v>-6250.7999999999956</v>
      </c>
      <c r="F15" s="1">
        <f>SUM(F8:F9)</f>
        <v>-8782.0999999999985</v>
      </c>
      <c r="G15" s="1">
        <f t="shared" si="0"/>
        <v>-2531.3000000000029</v>
      </c>
      <c r="H15" s="46">
        <f t="shared" si="1"/>
        <v>140.49561656108025</v>
      </c>
    </row>
    <row r="16" spans="1:8" ht="36" customHeight="1">
      <c r="A16" s="12" t="s">
        <v>88</v>
      </c>
      <c r="B16" s="8">
        <v>1020</v>
      </c>
      <c r="C16" s="1">
        <f>SUM(C17:C21)</f>
        <v>-4430.7</v>
      </c>
      <c r="D16" s="1">
        <f>SUM(D17:D21)</f>
        <v>-4308.8999999999996</v>
      </c>
      <c r="E16" s="1">
        <f>SUM(E17:E21)</f>
        <v>-3360.5</v>
      </c>
      <c r="F16" s="1">
        <f>SUM(F17:F21)</f>
        <v>-4308.8999999999996</v>
      </c>
      <c r="G16" s="1">
        <f t="shared" si="0"/>
        <v>-948.39999999999964</v>
      </c>
      <c r="H16" s="46">
        <f t="shared" si="1"/>
        <v>128.22199077518226</v>
      </c>
    </row>
    <row r="17" spans="1:8" ht="27.75" customHeight="1">
      <c r="A17" s="14" t="s">
        <v>68</v>
      </c>
      <c r="B17" s="9">
        <v>1021</v>
      </c>
      <c r="C17" s="10">
        <v>-143.1</v>
      </c>
      <c r="D17" s="10">
        <v>-64.8</v>
      </c>
      <c r="E17" s="10">
        <v>-35.5</v>
      </c>
      <c r="F17" s="10">
        <v>-64.8</v>
      </c>
      <c r="G17" s="10">
        <f t="shared" si="0"/>
        <v>-29.299999999999997</v>
      </c>
      <c r="H17" s="47">
        <f t="shared" si="1"/>
        <v>182.53521126760563</v>
      </c>
    </row>
    <row r="18" spans="1:8" ht="27.75" customHeight="1">
      <c r="A18" s="14" t="s">
        <v>2</v>
      </c>
      <c r="B18" s="9">
        <v>1022</v>
      </c>
      <c r="C18" s="10">
        <v>-3186.9</v>
      </c>
      <c r="D18" s="10">
        <v>-2967.7</v>
      </c>
      <c r="E18" s="10">
        <v>-2592.4</v>
      </c>
      <c r="F18" s="10">
        <v>-2967.7</v>
      </c>
      <c r="G18" s="10">
        <f t="shared" si="0"/>
        <v>-375.29999999999973</v>
      </c>
      <c r="H18" s="47">
        <f t="shared" si="1"/>
        <v>114.47693257213392</v>
      </c>
    </row>
    <row r="19" spans="1:8" ht="27.75" customHeight="1">
      <c r="A19" s="14" t="s">
        <v>3</v>
      </c>
      <c r="B19" s="9">
        <v>1023</v>
      </c>
      <c r="C19" s="10">
        <v>-668</v>
      </c>
      <c r="D19" s="10">
        <v>-659.6</v>
      </c>
      <c r="E19" s="10">
        <v>-571.9</v>
      </c>
      <c r="F19" s="10">
        <v>-659.6</v>
      </c>
      <c r="G19" s="10">
        <f t="shared" si="0"/>
        <v>-87.700000000000045</v>
      </c>
      <c r="H19" s="47">
        <f t="shared" si="1"/>
        <v>115.33484874978144</v>
      </c>
    </row>
    <row r="20" spans="1:8" ht="27.75" customHeight="1">
      <c r="A20" s="14" t="s">
        <v>4</v>
      </c>
      <c r="B20" s="9">
        <v>1024</v>
      </c>
      <c r="C20" s="10">
        <v>-72.3</v>
      </c>
      <c r="D20" s="10">
        <v>-406.4</v>
      </c>
      <c r="E20" s="10"/>
      <c r="F20" s="10">
        <v>-406.4</v>
      </c>
      <c r="G20" s="10">
        <f t="shared" si="0"/>
        <v>-406.4</v>
      </c>
      <c r="H20" s="47"/>
    </row>
    <row r="21" spans="1:8" ht="27.75" customHeight="1">
      <c r="A21" s="14" t="s">
        <v>69</v>
      </c>
      <c r="B21" s="9">
        <v>1025</v>
      </c>
      <c r="C21" s="10">
        <v>-360.4</v>
      </c>
      <c r="D21" s="10">
        <v>-210.4</v>
      </c>
      <c r="E21" s="10">
        <v>-160.69999999999999</v>
      </c>
      <c r="F21" s="10">
        <v>-210.4</v>
      </c>
      <c r="G21" s="10">
        <f t="shared" si="0"/>
        <v>-49.700000000000017</v>
      </c>
      <c r="H21" s="47">
        <f t="shared" si="1"/>
        <v>130.92719352831364</v>
      </c>
    </row>
    <row r="22" spans="1:8" ht="38.25" customHeight="1">
      <c r="A22" s="12" t="s">
        <v>36</v>
      </c>
      <c r="B22" s="8">
        <v>1040</v>
      </c>
      <c r="C22" s="1">
        <f>SUM(C23:C24)</f>
        <v>23421.200000000001</v>
      </c>
      <c r="D22" s="1">
        <f>SUM(D23:D24)</f>
        <v>14045.8</v>
      </c>
      <c r="E22" s="1">
        <f>SUM(E23:E24)</f>
        <v>9924</v>
      </c>
      <c r="F22" s="1">
        <f>SUM(F23:F24)</f>
        <v>14045.8</v>
      </c>
      <c r="G22" s="1">
        <f t="shared" si="0"/>
        <v>4121.7999999999993</v>
      </c>
      <c r="H22" s="46">
        <f t="shared" si="1"/>
        <v>141.53365578395807</v>
      </c>
    </row>
    <row r="23" spans="1:8" ht="30.75" customHeight="1">
      <c r="A23" s="14" t="s">
        <v>37</v>
      </c>
      <c r="B23" s="9">
        <v>1041</v>
      </c>
      <c r="C23" s="10"/>
      <c r="D23" s="10"/>
      <c r="E23" s="10"/>
      <c r="F23" s="10"/>
      <c r="G23" s="10">
        <f t="shared" si="0"/>
        <v>0</v>
      </c>
      <c r="H23" s="47"/>
    </row>
    <row r="24" spans="1:8" ht="27.75" customHeight="1">
      <c r="A24" s="14" t="s">
        <v>38</v>
      </c>
      <c r="B24" s="9">
        <v>1042</v>
      </c>
      <c r="C24" s="10">
        <v>23421.200000000001</v>
      </c>
      <c r="D24" s="10">
        <v>14045.8</v>
      </c>
      <c r="E24" s="10">
        <v>9924</v>
      </c>
      <c r="F24" s="10">
        <v>14045.8</v>
      </c>
      <c r="G24" s="10">
        <f t="shared" si="0"/>
        <v>4121.7999999999993</v>
      </c>
      <c r="H24" s="47">
        <f t="shared" si="1"/>
        <v>141.53365578395807</v>
      </c>
    </row>
    <row r="25" spans="1:8" ht="40.5" customHeight="1">
      <c r="A25" s="12" t="s">
        <v>13</v>
      </c>
      <c r="B25" s="8">
        <v>1030</v>
      </c>
      <c r="C25" s="1">
        <f>SUM(C26:C30)</f>
        <v>-645.9</v>
      </c>
      <c r="D25" s="1">
        <f>SUM(D26:D30)</f>
        <v>-475.09999999999997</v>
      </c>
      <c r="E25" s="1">
        <f>SUM(E26:E30)</f>
        <v>-312.70000000000005</v>
      </c>
      <c r="F25" s="1">
        <f>SUM(F26:F30)</f>
        <v>-475.09999999999997</v>
      </c>
      <c r="G25" s="1">
        <f t="shared" si="0"/>
        <v>-162.39999999999992</v>
      </c>
      <c r="H25" s="46">
        <f t="shared" si="1"/>
        <v>151.93476175247838</v>
      </c>
    </row>
    <row r="26" spans="1:8" ht="27.75" customHeight="1">
      <c r="A26" s="14" t="s">
        <v>68</v>
      </c>
      <c r="B26" s="9">
        <v>1031</v>
      </c>
      <c r="C26" s="10">
        <v>-252.4</v>
      </c>
      <c r="D26" s="10" t="s">
        <v>27</v>
      </c>
      <c r="E26" s="10" t="s">
        <v>27</v>
      </c>
      <c r="F26" s="10" t="s">
        <v>27</v>
      </c>
      <c r="G26" s="10"/>
      <c r="H26" s="47"/>
    </row>
    <row r="27" spans="1:8" ht="27.75" customHeight="1">
      <c r="A27" s="14" t="s">
        <v>2</v>
      </c>
      <c r="B27" s="9">
        <v>1032</v>
      </c>
      <c r="C27" s="10">
        <v>-193.6</v>
      </c>
      <c r="D27" s="10">
        <v>-246.7</v>
      </c>
      <c r="E27" s="10">
        <v>-63</v>
      </c>
      <c r="F27" s="10">
        <v>-246.7</v>
      </c>
      <c r="G27" s="10">
        <f t="shared" si="0"/>
        <v>-183.7</v>
      </c>
      <c r="H27" s="47">
        <f t="shared" si="1"/>
        <v>391.58730158730157</v>
      </c>
    </row>
    <row r="28" spans="1:8" ht="27.75" customHeight="1">
      <c r="A28" s="14" t="s">
        <v>3</v>
      </c>
      <c r="B28" s="9">
        <v>1033</v>
      </c>
      <c r="C28" s="10">
        <v>-42.8</v>
      </c>
      <c r="D28" s="10">
        <v>-95.2</v>
      </c>
      <c r="E28" s="10">
        <v>-48.4</v>
      </c>
      <c r="F28" s="10">
        <v>-95.2</v>
      </c>
      <c r="G28" s="10">
        <f t="shared" si="0"/>
        <v>-46.800000000000004</v>
      </c>
      <c r="H28" s="47">
        <f t="shared" si="1"/>
        <v>196.69421487603307</v>
      </c>
    </row>
    <row r="29" spans="1:8" ht="27.75" customHeight="1">
      <c r="A29" s="14" t="s">
        <v>4</v>
      </c>
      <c r="B29" s="9">
        <v>1034</v>
      </c>
      <c r="C29" s="10">
        <v>-2.7</v>
      </c>
      <c r="D29" s="10" t="s">
        <v>27</v>
      </c>
      <c r="E29" s="10" t="s">
        <v>27</v>
      </c>
      <c r="F29" s="10" t="s">
        <v>27</v>
      </c>
      <c r="G29" s="10"/>
      <c r="H29" s="47"/>
    </row>
    <row r="30" spans="1:8" ht="27.75" customHeight="1">
      <c r="A30" s="14" t="s">
        <v>70</v>
      </c>
      <c r="B30" s="9">
        <v>1035</v>
      </c>
      <c r="C30" s="10">
        <v>-154.4</v>
      </c>
      <c r="D30" s="10">
        <v>-133.19999999999999</v>
      </c>
      <c r="E30" s="10">
        <v>-201.3</v>
      </c>
      <c r="F30" s="10">
        <v>-133.19999999999999</v>
      </c>
      <c r="G30" s="10">
        <f t="shared" si="0"/>
        <v>68.100000000000023</v>
      </c>
      <c r="H30" s="47">
        <f t="shared" si="1"/>
        <v>66.169895678092388</v>
      </c>
    </row>
    <row r="31" spans="1:8" ht="47.25" customHeight="1">
      <c r="A31" s="12" t="s">
        <v>1</v>
      </c>
      <c r="B31" s="9">
        <v>1100</v>
      </c>
      <c r="C31" s="1">
        <f>SUM(C15,C16,C22,C25)</f>
        <v>-3838.9999999999986</v>
      </c>
      <c r="D31" s="1">
        <f>SUM(D15,D16,D22,D25)</f>
        <v>479.70000000000113</v>
      </c>
      <c r="E31" s="1"/>
      <c r="F31" s="1">
        <f>SUM(F15,F16,F22,F25)</f>
        <v>479.70000000000113</v>
      </c>
      <c r="G31" s="1">
        <f t="shared" si="0"/>
        <v>479.70000000000113</v>
      </c>
      <c r="H31" s="46"/>
    </row>
    <row r="32" spans="1:8" ht="27.75" customHeight="1">
      <c r="A32" s="12" t="s">
        <v>126</v>
      </c>
      <c r="B32" s="8">
        <v>1130</v>
      </c>
      <c r="C32" s="1">
        <v>25.2</v>
      </c>
      <c r="D32" s="1">
        <v>21.1</v>
      </c>
      <c r="E32" s="1"/>
      <c r="F32" s="1">
        <v>21.1</v>
      </c>
      <c r="G32" s="1">
        <f t="shared" si="0"/>
        <v>21.1</v>
      </c>
      <c r="H32" s="46"/>
    </row>
    <row r="33" spans="1:8" ht="27.75" customHeight="1">
      <c r="A33" s="43" t="s">
        <v>127</v>
      </c>
      <c r="B33" s="8">
        <v>1140</v>
      </c>
      <c r="C33" s="1" t="s">
        <v>27</v>
      </c>
      <c r="D33" s="1"/>
      <c r="E33" s="10" t="s">
        <v>27</v>
      </c>
      <c r="F33" s="10" t="s">
        <v>27</v>
      </c>
      <c r="G33" s="1"/>
      <c r="H33" s="46"/>
    </row>
    <row r="34" spans="1:8" ht="27.75" customHeight="1">
      <c r="A34" s="12" t="s">
        <v>128</v>
      </c>
      <c r="B34" s="8">
        <v>1150</v>
      </c>
      <c r="C34" s="1">
        <v>998.8</v>
      </c>
      <c r="D34" s="1">
        <v>1531.3</v>
      </c>
      <c r="E34" s="1"/>
      <c r="F34" s="1">
        <v>1531.3</v>
      </c>
      <c r="G34" s="1">
        <f t="shared" si="0"/>
        <v>1531.3</v>
      </c>
      <c r="H34" s="46"/>
    </row>
    <row r="35" spans="1:8" ht="27.75" customHeight="1">
      <c r="A35" s="12" t="s">
        <v>129</v>
      </c>
      <c r="B35" s="8">
        <v>1160</v>
      </c>
      <c r="C35" s="1" t="s">
        <v>27</v>
      </c>
      <c r="D35" s="1" t="s">
        <v>27</v>
      </c>
      <c r="E35" s="10" t="s">
        <v>27</v>
      </c>
      <c r="F35" s="10" t="s">
        <v>27</v>
      </c>
      <c r="G35" s="1"/>
      <c r="H35" s="46"/>
    </row>
    <row r="36" spans="1:8" ht="28.5" customHeight="1">
      <c r="A36" s="12" t="s">
        <v>16</v>
      </c>
      <c r="B36" s="8">
        <v>1170</v>
      </c>
      <c r="C36" s="1">
        <f>SUM(C31, C32:C35)</f>
        <v>-2814.9999999999991</v>
      </c>
      <c r="D36" s="1">
        <f>SUM(D31, D32:D35)</f>
        <v>2032.100000000001</v>
      </c>
      <c r="E36" s="1">
        <f>SUM(E31, E32:E35)</f>
        <v>0</v>
      </c>
      <c r="F36" s="1">
        <f>SUM(F31, F32:F35)</f>
        <v>2032.100000000001</v>
      </c>
      <c r="G36" s="1">
        <f t="shared" si="0"/>
        <v>2032.100000000001</v>
      </c>
      <c r="H36" s="46"/>
    </row>
    <row r="37" spans="1:8" ht="27.75" customHeight="1">
      <c r="A37" s="43" t="s">
        <v>29</v>
      </c>
      <c r="B37" s="9">
        <v>1180</v>
      </c>
      <c r="C37" s="10" t="s">
        <v>27</v>
      </c>
      <c r="D37" s="10" t="s">
        <v>27</v>
      </c>
      <c r="E37" s="10" t="s">
        <v>27</v>
      </c>
      <c r="F37" s="10" t="s">
        <v>27</v>
      </c>
      <c r="G37" s="10"/>
      <c r="H37" s="46"/>
    </row>
    <row r="38" spans="1:8" ht="27" customHeight="1">
      <c r="A38" s="43" t="s">
        <v>30</v>
      </c>
      <c r="B38" s="9">
        <v>1181</v>
      </c>
      <c r="C38" s="10"/>
      <c r="D38" s="10"/>
      <c r="E38" s="10"/>
      <c r="F38" s="10"/>
      <c r="G38" s="1"/>
      <c r="H38" s="46"/>
    </row>
    <row r="39" spans="1:8" ht="28.5" customHeight="1">
      <c r="A39" s="12" t="s">
        <v>46</v>
      </c>
      <c r="B39" s="9">
        <v>1200</v>
      </c>
      <c r="C39" s="1">
        <f>SUM(C36:C38)</f>
        <v>-2814.9999999999991</v>
      </c>
      <c r="D39" s="1">
        <f>SUM(D36:D38)</f>
        <v>2032.100000000001</v>
      </c>
      <c r="E39" s="1">
        <f>SUM(E36:E38)</f>
        <v>0</v>
      </c>
      <c r="F39" s="1">
        <f>SUM(F36:F38)</f>
        <v>2032.100000000001</v>
      </c>
      <c r="G39" s="1">
        <f t="shared" si="0"/>
        <v>2032.100000000001</v>
      </c>
      <c r="H39" s="46"/>
    </row>
    <row r="40" spans="1:8" ht="35.25" customHeight="1">
      <c r="A40" s="43" t="s">
        <v>47</v>
      </c>
      <c r="B40" s="9">
        <v>1201</v>
      </c>
      <c r="C40" s="10"/>
      <c r="D40" s="10"/>
      <c r="E40" s="10"/>
      <c r="F40" s="10"/>
      <c r="G40" s="10"/>
      <c r="H40" s="47"/>
    </row>
    <row r="41" spans="1:8" ht="33" customHeight="1">
      <c r="A41" s="43" t="s">
        <v>48</v>
      </c>
      <c r="B41" s="9">
        <v>1202</v>
      </c>
      <c r="C41" s="10" t="s">
        <v>27</v>
      </c>
      <c r="D41" s="10" t="s">
        <v>27</v>
      </c>
      <c r="E41" s="10" t="s">
        <v>27</v>
      </c>
      <c r="F41" s="10" t="s">
        <v>27</v>
      </c>
      <c r="G41" s="10"/>
      <c r="H41" s="47"/>
    </row>
    <row r="42" spans="1:8" ht="33" customHeight="1">
      <c r="A42" s="12" t="s">
        <v>118</v>
      </c>
      <c r="B42" s="8">
        <v>1210</v>
      </c>
      <c r="C42" s="1">
        <f>SUM(C8,C22,C32,C34,C38)</f>
        <v>47658.600000000006</v>
      </c>
      <c r="D42" s="1">
        <f>SUM(D8,D22,D32,D34,D38)</f>
        <v>71957.200000000012</v>
      </c>
      <c r="E42" s="1">
        <f>SUM(E8,E22,E32,E34,E38)</f>
        <v>60140.800000000003</v>
      </c>
      <c r="F42" s="1">
        <f>SUM(F8,F22,F32,F34,F38)</f>
        <v>71957.200000000012</v>
      </c>
      <c r="G42" s="1">
        <f t="shared" si="0"/>
        <v>11816.400000000009</v>
      </c>
      <c r="H42" s="46">
        <f t="shared" si="1"/>
        <v>119.64789294455677</v>
      </c>
    </row>
    <row r="43" spans="1:8" ht="33" customHeight="1" thickBot="1">
      <c r="A43" s="57" t="s">
        <v>119</v>
      </c>
      <c r="B43" s="58">
        <v>1220</v>
      </c>
      <c r="C43" s="53">
        <f>SUM(C9,C16,C25,C33,C35,C37)</f>
        <v>-50473.599999999999</v>
      </c>
      <c r="D43" s="53">
        <f>SUM(D9,D16,D25,D33,D35,D37)</f>
        <v>-69925.100000000006</v>
      </c>
      <c r="E43" s="53">
        <f>SUM(E9,E16,E25,E33,E35,E37)</f>
        <v>-60140.799999999996</v>
      </c>
      <c r="F43" s="53">
        <f>SUM(F9,F16,F25,F33,F35,F37)</f>
        <v>-69925.100000000006</v>
      </c>
      <c r="G43" s="53">
        <f t="shared" si="0"/>
        <v>-9784.3000000000102</v>
      </c>
      <c r="H43" s="54">
        <f t="shared" si="1"/>
        <v>116.26898877301268</v>
      </c>
    </row>
    <row r="44" spans="1:8" ht="33" customHeight="1">
      <c r="A44" s="251" t="s">
        <v>133</v>
      </c>
      <c r="B44" s="252"/>
      <c r="C44" s="252"/>
      <c r="D44" s="252"/>
      <c r="E44" s="252"/>
      <c r="F44" s="252"/>
      <c r="G44" s="252"/>
      <c r="H44" s="253"/>
    </row>
    <row r="45" spans="1:8" ht="33" customHeight="1">
      <c r="A45" s="14" t="s">
        <v>56</v>
      </c>
      <c r="B45" s="39">
        <v>9000</v>
      </c>
      <c r="C45" s="10">
        <v>7598.9</v>
      </c>
      <c r="D45" s="10">
        <v>12330.2</v>
      </c>
      <c r="E45" s="10">
        <v>7588.5</v>
      </c>
      <c r="F45" s="10">
        <f>D45</f>
        <v>12330.2</v>
      </c>
      <c r="G45" s="236">
        <f t="shared" ref="G45:G50" si="2">F45-E45</f>
        <v>4741.7000000000007</v>
      </c>
      <c r="H45" s="237">
        <f t="shared" ref="H45:H50" si="3">(F45/E45)*100</f>
        <v>162.4853396586941</v>
      </c>
    </row>
    <row r="46" spans="1:8" ht="33" customHeight="1">
      <c r="A46" s="14" t="s">
        <v>2</v>
      </c>
      <c r="B46" s="39">
        <v>9010</v>
      </c>
      <c r="C46" s="10">
        <v>31068.3</v>
      </c>
      <c r="D46" s="10">
        <v>41886.699999999997</v>
      </c>
      <c r="E46" s="10">
        <v>39593.1</v>
      </c>
      <c r="F46" s="10">
        <f t="shared" ref="F46:F49" si="4">D46</f>
        <v>41886.699999999997</v>
      </c>
      <c r="G46" s="236">
        <f t="shared" si="2"/>
        <v>2293.5999999999985</v>
      </c>
      <c r="H46" s="237">
        <f t="shared" si="3"/>
        <v>105.79292856583595</v>
      </c>
    </row>
    <row r="47" spans="1:8" ht="33" customHeight="1">
      <c r="A47" s="14" t="s">
        <v>3</v>
      </c>
      <c r="B47" s="39">
        <v>9020</v>
      </c>
      <c r="C47" s="10">
        <v>6651.9</v>
      </c>
      <c r="D47" s="10">
        <v>8935.5</v>
      </c>
      <c r="E47" s="10">
        <v>8570.7999999999993</v>
      </c>
      <c r="F47" s="10">
        <f t="shared" si="4"/>
        <v>8935.5</v>
      </c>
      <c r="G47" s="236">
        <f t="shared" si="2"/>
        <v>364.70000000000073</v>
      </c>
      <c r="H47" s="237">
        <f t="shared" si="3"/>
        <v>104.25514537732768</v>
      </c>
    </row>
    <row r="48" spans="1:8" ht="33" customHeight="1">
      <c r="A48" s="14" t="s">
        <v>4</v>
      </c>
      <c r="B48" s="39">
        <v>9030</v>
      </c>
      <c r="C48" s="10">
        <v>1043.3</v>
      </c>
      <c r="D48" s="10">
        <v>1694.5</v>
      </c>
      <c r="E48" s="10"/>
      <c r="F48" s="10">
        <f t="shared" si="4"/>
        <v>1694.5</v>
      </c>
      <c r="G48" s="236">
        <f t="shared" si="2"/>
        <v>1694.5</v>
      </c>
      <c r="H48" s="237"/>
    </row>
    <row r="49" spans="1:8" ht="33" customHeight="1">
      <c r="A49" s="14" t="s">
        <v>6</v>
      </c>
      <c r="B49" s="39">
        <v>9040</v>
      </c>
      <c r="C49" s="10">
        <v>4111.2</v>
      </c>
      <c r="D49" s="10">
        <v>5078.2</v>
      </c>
      <c r="E49" s="10">
        <v>4388.3999999999996</v>
      </c>
      <c r="F49" s="10">
        <f t="shared" si="4"/>
        <v>5078.2</v>
      </c>
      <c r="G49" s="236">
        <f t="shared" si="2"/>
        <v>689.80000000000018</v>
      </c>
      <c r="H49" s="237">
        <f t="shared" si="3"/>
        <v>115.71871297055876</v>
      </c>
    </row>
    <row r="50" spans="1:8" ht="33" customHeight="1" thickBot="1">
      <c r="A50" s="55" t="s">
        <v>9</v>
      </c>
      <c r="B50" s="52">
        <v>9050</v>
      </c>
      <c r="C50" s="53">
        <f>SUM(C45:C49)</f>
        <v>50473.599999999999</v>
      </c>
      <c r="D50" s="53">
        <f>SUM(D45:D49)</f>
        <v>69925.099999999991</v>
      </c>
      <c r="E50" s="53">
        <f>SUM(E45:E49)</f>
        <v>60140.799999999996</v>
      </c>
      <c r="F50" s="53">
        <f>SUM(F45:F49)</f>
        <v>69925.099999999991</v>
      </c>
      <c r="G50" s="238">
        <f t="shared" si="2"/>
        <v>9784.2999999999956</v>
      </c>
      <c r="H50" s="239">
        <f t="shared" si="3"/>
        <v>116.26898877301267</v>
      </c>
    </row>
    <row r="51" spans="1:8" ht="33" customHeight="1">
      <c r="A51" s="261" t="s">
        <v>99</v>
      </c>
      <c r="B51" s="262"/>
      <c r="C51" s="262"/>
      <c r="D51" s="262"/>
      <c r="E51" s="262"/>
      <c r="F51" s="262"/>
      <c r="G51" s="262"/>
      <c r="H51" s="263"/>
    </row>
    <row r="52" spans="1:8" ht="69" customHeight="1">
      <c r="A52" s="49" t="s">
        <v>136</v>
      </c>
      <c r="B52" s="8">
        <v>2110</v>
      </c>
      <c r="C52" s="1">
        <f>SUM(C53:C56)</f>
        <v>-466</v>
      </c>
      <c r="D52" s="1">
        <f>SUM(D53:D56)</f>
        <v>-706.5</v>
      </c>
      <c r="E52" s="1">
        <f>SUM(E53:E56)</f>
        <v>-684.19999999999993</v>
      </c>
      <c r="F52" s="224">
        <f>SUM(F53:F56)</f>
        <v>-706.5</v>
      </c>
      <c r="G52" s="224">
        <f>F52-E52</f>
        <v>-22.300000000000068</v>
      </c>
      <c r="H52" s="46">
        <f>(F52/E52)*100</f>
        <v>103.25928091201403</v>
      </c>
    </row>
    <row r="53" spans="1:8" ht="44.25" customHeight="1">
      <c r="A53" s="14" t="s">
        <v>53</v>
      </c>
      <c r="B53" s="9">
        <v>2111</v>
      </c>
      <c r="C53" s="10" t="s">
        <v>27</v>
      </c>
      <c r="D53" s="10">
        <v>-73.099999999999994</v>
      </c>
      <c r="E53" s="10">
        <v>-90.4</v>
      </c>
      <c r="F53" s="220">
        <f>D53</f>
        <v>-73.099999999999994</v>
      </c>
      <c r="G53" s="220">
        <f t="shared" ref="G53:G60" si="5">F53-E53</f>
        <v>17.300000000000011</v>
      </c>
      <c r="H53" s="47">
        <f t="shared" ref="H53:H68" si="6">(F53/E53)*100</f>
        <v>80.862831858407063</v>
      </c>
    </row>
    <row r="54" spans="1:8" ht="45.75" customHeight="1">
      <c r="A54" s="50" t="s">
        <v>54</v>
      </c>
      <c r="B54" s="9">
        <v>2112</v>
      </c>
      <c r="C54" s="10" t="s">
        <v>27</v>
      </c>
      <c r="D54" s="10" t="s">
        <v>27</v>
      </c>
      <c r="E54" s="10" t="s">
        <v>27</v>
      </c>
      <c r="F54" s="220" t="s">
        <v>27</v>
      </c>
      <c r="G54" s="220"/>
      <c r="H54" s="47"/>
    </row>
    <row r="55" spans="1:8" ht="28.5" customHeight="1">
      <c r="A55" s="14" t="s">
        <v>61</v>
      </c>
      <c r="B55" s="9">
        <v>2113</v>
      </c>
      <c r="C55" s="10">
        <v>-466</v>
      </c>
      <c r="D55" s="10">
        <v>-633.4</v>
      </c>
      <c r="E55" s="10">
        <v>-593.79999999999995</v>
      </c>
      <c r="F55" s="220">
        <f>D55</f>
        <v>-633.4</v>
      </c>
      <c r="G55" s="220">
        <f t="shared" si="5"/>
        <v>-39.600000000000023</v>
      </c>
      <c r="H55" s="47">
        <f t="shared" si="6"/>
        <v>106.66891209161334</v>
      </c>
    </row>
    <row r="56" spans="1:8" ht="33" customHeight="1">
      <c r="A56" s="14" t="s">
        <v>40</v>
      </c>
      <c r="B56" s="9">
        <v>2114</v>
      </c>
      <c r="C56" s="10" t="s">
        <v>27</v>
      </c>
      <c r="D56" s="10" t="s">
        <v>27</v>
      </c>
      <c r="E56" s="10" t="s">
        <v>27</v>
      </c>
      <c r="F56" s="220" t="s">
        <v>27</v>
      </c>
      <c r="G56" s="224"/>
      <c r="H56" s="47"/>
    </row>
    <row r="57" spans="1:8" ht="43.5" customHeight="1">
      <c r="A57" s="42" t="s">
        <v>58</v>
      </c>
      <c r="B57" s="11">
        <v>2120</v>
      </c>
      <c r="C57" s="1">
        <f>SUM(C58:C63)</f>
        <v>-5461.5</v>
      </c>
      <c r="D57" s="1">
        <f>SUM(D58:D63)</f>
        <v>-7545</v>
      </c>
      <c r="E57" s="1">
        <f>SUM(E58:E63)</f>
        <v>-7126.8</v>
      </c>
      <c r="F57" s="224">
        <f>SUM(F58:F63)</f>
        <v>-7545</v>
      </c>
      <c r="G57" s="224">
        <f t="shared" si="5"/>
        <v>-418.19999999999982</v>
      </c>
      <c r="H57" s="46">
        <f t="shared" si="6"/>
        <v>105.86799124431722</v>
      </c>
    </row>
    <row r="58" spans="1:8" ht="36" customHeight="1">
      <c r="A58" s="50" t="s">
        <v>39</v>
      </c>
      <c r="B58" s="39">
        <v>2121</v>
      </c>
      <c r="C58" s="10" t="s">
        <v>27</v>
      </c>
      <c r="D58" s="10" t="s">
        <v>27</v>
      </c>
      <c r="E58" s="10" t="s">
        <v>27</v>
      </c>
      <c r="F58" s="220" t="s">
        <v>27</v>
      </c>
      <c r="G58" s="224"/>
      <c r="H58" s="46"/>
    </row>
    <row r="59" spans="1:8" ht="33.75" customHeight="1">
      <c r="A59" s="14" t="s">
        <v>15</v>
      </c>
      <c r="B59" s="39">
        <v>2122</v>
      </c>
      <c r="C59" s="10">
        <v>-5460.9</v>
      </c>
      <c r="D59" s="10">
        <v>-7544.7</v>
      </c>
      <c r="E59" s="10">
        <v>-7126.6</v>
      </c>
      <c r="F59" s="220">
        <v>-7544.7</v>
      </c>
      <c r="G59" s="220">
        <f t="shared" si="5"/>
        <v>-418.09999999999945</v>
      </c>
      <c r="H59" s="47">
        <f t="shared" si="6"/>
        <v>105.86675272921168</v>
      </c>
    </row>
    <row r="60" spans="1:8" ht="31.5" customHeight="1">
      <c r="A60" s="14" t="s">
        <v>44</v>
      </c>
      <c r="B60" s="39">
        <v>2123</v>
      </c>
      <c r="C60" s="10">
        <v>-0.6</v>
      </c>
      <c r="D60" s="10">
        <v>-0.3</v>
      </c>
      <c r="E60" s="10">
        <v>-0.2</v>
      </c>
      <c r="F60" s="220">
        <f>D60</f>
        <v>-0.3</v>
      </c>
      <c r="G60" s="220">
        <f t="shared" si="5"/>
        <v>-9.9999999999999978E-2</v>
      </c>
      <c r="H60" s="47">
        <f t="shared" si="6"/>
        <v>149.99999999999997</v>
      </c>
    </row>
    <row r="61" spans="1:8" ht="31.5" customHeight="1">
      <c r="A61" s="14" t="s">
        <v>45</v>
      </c>
      <c r="B61" s="39">
        <v>2124</v>
      </c>
      <c r="C61" s="10" t="s">
        <v>27</v>
      </c>
      <c r="D61" s="10" t="s">
        <v>27</v>
      </c>
      <c r="E61" s="10" t="s">
        <v>27</v>
      </c>
      <c r="F61" s="10" t="s">
        <v>27</v>
      </c>
      <c r="G61" s="1"/>
      <c r="H61" s="47"/>
    </row>
    <row r="62" spans="1:8" ht="84.75" customHeight="1">
      <c r="A62" s="14" t="s">
        <v>120</v>
      </c>
      <c r="B62" s="39">
        <v>2125</v>
      </c>
      <c r="C62" s="10" t="s">
        <v>27</v>
      </c>
      <c r="D62" s="10" t="s">
        <v>27</v>
      </c>
      <c r="E62" s="10" t="s">
        <v>27</v>
      </c>
      <c r="F62" s="10" t="s">
        <v>27</v>
      </c>
      <c r="G62" s="1"/>
      <c r="H62" s="47"/>
    </row>
    <row r="63" spans="1:8" ht="31.5" customHeight="1">
      <c r="A63" s="14" t="s">
        <v>40</v>
      </c>
      <c r="B63" s="39">
        <v>2126</v>
      </c>
      <c r="C63" s="10" t="s">
        <v>27</v>
      </c>
      <c r="D63" s="10" t="s">
        <v>27</v>
      </c>
      <c r="E63" s="10" t="s">
        <v>27</v>
      </c>
      <c r="F63" s="10" t="s">
        <v>27</v>
      </c>
      <c r="G63" s="224"/>
      <c r="H63" s="47"/>
    </row>
    <row r="64" spans="1:8" ht="48" customHeight="1">
      <c r="A64" s="49" t="s">
        <v>59</v>
      </c>
      <c r="B64" s="11">
        <v>2130</v>
      </c>
      <c r="C64" s="1">
        <f>SUM(C65:C67)</f>
        <v>-6856.2999999999993</v>
      </c>
      <c r="D64" s="1">
        <f>SUM(D65:D67)</f>
        <v>-9161.3000000000011</v>
      </c>
      <c r="E64" s="1">
        <f>SUM(E65:E67)</f>
        <v>-8786.6999999999989</v>
      </c>
      <c r="F64" s="1">
        <f>SUM(F65:F67)</f>
        <v>-9161.3000000000011</v>
      </c>
      <c r="G64" s="224">
        <f>F64-E64</f>
        <v>-374.60000000000218</v>
      </c>
      <c r="H64" s="46">
        <f t="shared" si="6"/>
        <v>104.26326152025223</v>
      </c>
    </row>
    <row r="65" spans="1:9" ht="33" customHeight="1">
      <c r="A65" s="14" t="s">
        <v>41</v>
      </c>
      <c r="B65" s="39">
        <v>2131</v>
      </c>
      <c r="C65" s="10" t="s">
        <v>27</v>
      </c>
      <c r="D65" s="10" t="s">
        <v>27</v>
      </c>
      <c r="E65" s="10" t="s">
        <v>27</v>
      </c>
      <c r="F65" s="10" t="s">
        <v>27</v>
      </c>
      <c r="G65" s="224"/>
      <c r="H65" s="47"/>
    </row>
    <row r="66" spans="1:9" ht="44.25" customHeight="1">
      <c r="A66" s="14" t="s">
        <v>42</v>
      </c>
      <c r="B66" s="39">
        <v>2132</v>
      </c>
      <c r="C66" s="10">
        <v>-6651.9</v>
      </c>
      <c r="D66" s="10">
        <v>-8935.2000000000007</v>
      </c>
      <c r="E66" s="10">
        <v>-8570.7999999999993</v>
      </c>
      <c r="F66" s="10">
        <f>D66</f>
        <v>-8935.2000000000007</v>
      </c>
      <c r="G66" s="220">
        <f t="shared" ref="G66:G68" si="7">F66-E66</f>
        <v>-364.40000000000146</v>
      </c>
      <c r="H66" s="47">
        <f t="shared" si="6"/>
        <v>104.25164512064219</v>
      </c>
    </row>
    <row r="67" spans="1:9" ht="35.25" customHeight="1">
      <c r="A67" s="14" t="s">
        <v>43</v>
      </c>
      <c r="B67" s="39">
        <v>2133</v>
      </c>
      <c r="C67" s="10">
        <v>-204.4</v>
      </c>
      <c r="D67" s="220">
        <v>-226.1</v>
      </c>
      <c r="E67" s="220">
        <v>-215.9</v>
      </c>
      <c r="F67" s="220">
        <v>-226.1</v>
      </c>
      <c r="G67" s="224"/>
      <c r="H67" s="47"/>
      <c r="I67" s="213"/>
    </row>
    <row r="68" spans="1:9" ht="30.75" customHeight="1" thickBot="1">
      <c r="A68" s="51" t="s">
        <v>55</v>
      </c>
      <c r="B68" s="52">
        <v>2200</v>
      </c>
      <c r="C68" s="53">
        <f>SUM(C52+C57+C64)</f>
        <v>-12783.8</v>
      </c>
      <c r="D68" s="53">
        <f>SUM(D52+D57+D64)</f>
        <v>-17412.800000000003</v>
      </c>
      <c r="E68" s="53">
        <f>SUM(E52+E57+E64)</f>
        <v>-16597.699999999997</v>
      </c>
      <c r="F68" s="53">
        <f>SUM(F52+F57+F64)</f>
        <v>-17412.800000000003</v>
      </c>
      <c r="G68" s="224">
        <f t="shared" si="7"/>
        <v>-815.10000000000582</v>
      </c>
      <c r="H68" s="54">
        <f t="shared" si="6"/>
        <v>104.91092139272314</v>
      </c>
    </row>
    <row r="69" spans="1:9" ht="33" customHeight="1">
      <c r="A69" s="264" t="s">
        <v>100</v>
      </c>
      <c r="B69" s="265"/>
      <c r="C69" s="265"/>
      <c r="D69" s="265"/>
      <c r="E69" s="265"/>
      <c r="F69" s="265"/>
      <c r="G69" s="265"/>
      <c r="H69" s="266"/>
    </row>
    <row r="70" spans="1:9" ht="27.75" customHeight="1">
      <c r="A70" s="12" t="s">
        <v>20</v>
      </c>
      <c r="B70" s="8">
        <v>4000</v>
      </c>
      <c r="C70" s="1">
        <f>SUM(C71:C77)</f>
        <v>-8338</v>
      </c>
      <c r="D70" s="1">
        <f>SUM(D71:D77)</f>
        <v>-975.59999999999991</v>
      </c>
      <c r="E70" s="1">
        <f>SUM(E71:E77)</f>
        <v>0</v>
      </c>
      <c r="F70" s="1">
        <f>SUM(F71:F77)</f>
        <v>-975.59999999999991</v>
      </c>
      <c r="G70" s="1">
        <f>F70-E70</f>
        <v>-975.59999999999991</v>
      </c>
      <c r="H70" s="46"/>
    </row>
    <row r="71" spans="1:9" ht="37.5" customHeight="1">
      <c r="A71" s="13" t="s">
        <v>62</v>
      </c>
      <c r="B71" s="9">
        <v>4010</v>
      </c>
      <c r="C71" s="10" t="s">
        <v>27</v>
      </c>
      <c r="D71" s="10" t="s">
        <v>27</v>
      </c>
      <c r="E71" s="10" t="s">
        <v>27</v>
      </c>
      <c r="F71" s="10" t="s">
        <v>27</v>
      </c>
      <c r="G71" s="10"/>
      <c r="H71" s="47"/>
    </row>
    <row r="72" spans="1:9" ht="46.5" customHeight="1">
      <c r="A72" s="14" t="s">
        <v>130</v>
      </c>
      <c r="B72" s="9">
        <v>4020</v>
      </c>
      <c r="C72" s="10">
        <v>-5647.7</v>
      </c>
      <c r="D72" s="10">
        <v>-767.8</v>
      </c>
      <c r="E72" s="10">
        <v>0</v>
      </c>
      <c r="F72" s="10">
        <f>D72</f>
        <v>-767.8</v>
      </c>
      <c r="G72" s="10">
        <f t="shared" ref="G72:G73" si="8">F72-E72</f>
        <v>-767.8</v>
      </c>
      <c r="H72" s="47"/>
    </row>
    <row r="73" spans="1:9" ht="48.75" customHeight="1">
      <c r="A73" s="14" t="s">
        <v>71</v>
      </c>
      <c r="B73" s="9">
        <v>4030</v>
      </c>
      <c r="C73" s="10">
        <v>-730.6</v>
      </c>
      <c r="D73" s="10">
        <v>-207.8</v>
      </c>
      <c r="E73" s="10"/>
      <c r="F73" s="10">
        <f>D73</f>
        <v>-207.8</v>
      </c>
      <c r="G73" s="10">
        <f t="shared" si="8"/>
        <v>-207.8</v>
      </c>
      <c r="H73" s="47"/>
    </row>
    <row r="74" spans="1:9" ht="49.5" customHeight="1">
      <c r="A74" s="14" t="s">
        <v>131</v>
      </c>
      <c r="B74" s="9">
        <v>4040</v>
      </c>
      <c r="C74" s="10" t="s">
        <v>27</v>
      </c>
      <c r="D74" s="10" t="s">
        <v>27</v>
      </c>
      <c r="E74" s="10" t="s">
        <v>27</v>
      </c>
      <c r="F74" s="10" t="s">
        <v>27</v>
      </c>
      <c r="G74" s="10"/>
      <c r="H74" s="47"/>
    </row>
    <row r="75" spans="1:9" ht="63.75" customHeight="1">
      <c r="A75" s="14" t="s">
        <v>63</v>
      </c>
      <c r="B75" s="9">
        <v>4050</v>
      </c>
      <c r="C75" s="10">
        <v>-1959.7</v>
      </c>
      <c r="D75" s="10" t="s">
        <v>27</v>
      </c>
      <c r="E75" s="10" t="s">
        <v>27</v>
      </c>
      <c r="F75" s="10" t="s">
        <v>27</v>
      </c>
      <c r="G75" s="10"/>
      <c r="H75" s="47"/>
    </row>
    <row r="76" spans="1:9" ht="36.75" customHeight="1">
      <c r="A76" s="14" t="s">
        <v>64</v>
      </c>
      <c r="B76" s="9">
        <v>4060</v>
      </c>
      <c r="C76" s="10" t="s">
        <v>27</v>
      </c>
      <c r="D76" s="10" t="s">
        <v>27</v>
      </c>
      <c r="E76" s="10" t="s">
        <v>27</v>
      </c>
      <c r="F76" s="10" t="s">
        <v>27</v>
      </c>
      <c r="G76" s="10"/>
      <c r="H76" s="47"/>
    </row>
    <row r="77" spans="1:9" ht="39.75" customHeight="1" thickBot="1">
      <c r="A77" s="15" t="s">
        <v>50</v>
      </c>
      <c r="B77" s="16">
        <v>4070</v>
      </c>
      <c r="C77" s="40" t="s">
        <v>27</v>
      </c>
      <c r="D77" s="40" t="s">
        <v>27</v>
      </c>
      <c r="E77" s="40" t="s">
        <v>27</v>
      </c>
      <c r="F77" s="40" t="s">
        <v>27</v>
      </c>
      <c r="G77" s="40"/>
      <c r="H77" s="48"/>
    </row>
    <row r="78" spans="1:9" ht="36.75" customHeight="1">
      <c r="A78" s="279" t="s">
        <v>101</v>
      </c>
      <c r="B78" s="280"/>
      <c r="C78" s="280"/>
      <c r="D78" s="280"/>
      <c r="E78" s="280"/>
      <c r="F78" s="280"/>
      <c r="G78" s="280"/>
      <c r="H78" s="281"/>
    </row>
    <row r="79" spans="1:9" ht="46.5" customHeight="1">
      <c r="A79" s="41"/>
      <c r="B79" s="36"/>
      <c r="C79" s="254" t="s">
        <v>124</v>
      </c>
      <c r="D79" s="254"/>
      <c r="E79" s="255" t="s">
        <v>457</v>
      </c>
      <c r="F79" s="256"/>
      <c r="G79" s="256"/>
      <c r="H79" s="257"/>
    </row>
    <row r="80" spans="1:9" ht="51" customHeight="1">
      <c r="A80" s="41"/>
      <c r="B80" s="36"/>
      <c r="C80" s="59" t="s">
        <v>456</v>
      </c>
      <c r="D80" s="59" t="s">
        <v>455</v>
      </c>
      <c r="E80" s="7" t="s">
        <v>109</v>
      </c>
      <c r="F80" s="7" t="s">
        <v>110</v>
      </c>
      <c r="G80" s="7" t="s">
        <v>111</v>
      </c>
      <c r="H80" s="7" t="s">
        <v>112</v>
      </c>
    </row>
    <row r="81" spans="1:10" s="35" customFormat="1" ht="86.25" customHeight="1">
      <c r="A81" s="42" t="s">
        <v>132</v>
      </c>
      <c r="B81" s="17" t="s">
        <v>31</v>
      </c>
      <c r="C81" s="18">
        <f>SUM(C82:C84)</f>
        <v>561</v>
      </c>
      <c r="D81" s="221">
        <f>SUM(D82:D84)</f>
        <v>530</v>
      </c>
      <c r="E81" s="18">
        <f>SUM(E82:E84)</f>
        <v>561</v>
      </c>
      <c r="F81" s="221">
        <f>SUM(F82:F84)</f>
        <v>530</v>
      </c>
      <c r="G81" s="221">
        <f>F81-E81</f>
        <v>-31</v>
      </c>
      <c r="H81" s="221">
        <f>G81-F81</f>
        <v>-561</v>
      </c>
      <c r="J81" s="212"/>
    </row>
    <row r="82" spans="1:10" ht="27.75" customHeight="1">
      <c r="A82" s="43" t="s">
        <v>22</v>
      </c>
      <c r="B82" s="9" t="s">
        <v>32</v>
      </c>
      <c r="C82" s="20">
        <v>1</v>
      </c>
      <c r="D82" s="20">
        <v>1</v>
      </c>
      <c r="E82" s="20">
        <v>1</v>
      </c>
      <c r="F82" s="20">
        <v>1</v>
      </c>
      <c r="G82" s="222">
        <f t="shared" ref="G82:G96" si="9">F82-E82</f>
        <v>0</v>
      </c>
      <c r="H82" s="222">
        <f t="shared" ref="H82:H95" si="10">G82-F82</f>
        <v>-1</v>
      </c>
    </row>
    <row r="83" spans="1:10" ht="27.75" customHeight="1">
      <c r="A83" s="43" t="s">
        <v>25</v>
      </c>
      <c r="B83" s="9" t="s">
        <v>33</v>
      </c>
      <c r="C83" s="20">
        <v>59</v>
      </c>
      <c r="D83" s="20">
        <v>58</v>
      </c>
      <c r="E83" s="20">
        <v>59</v>
      </c>
      <c r="F83" s="20">
        <v>58</v>
      </c>
      <c r="G83" s="222">
        <f t="shared" si="9"/>
        <v>-1</v>
      </c>
      <c r="H83" s="222">
        <f t="shared" si="10"/>
        <v>-59</v>
      </c>
    </row>
    <row r="84" spans="1:10" ht="27.75" customHeight="1">
      <c r="A84" s="43" t="s">
        <v>23</v>
      </c>
      <c r="B84" s="9" t="s">
        <v>34</v>
      </c>
      <c r="C84" s="20">
        <v>501</v>
      </c>
      <c r="D84" s="20">
        <v>471</v>
      </c>
      <c r="E84" s="20">
        <v>501</v>
      </c>
      <c r="F84" s="20">
        <v>471</v>
      </c>
      <c r="G84" s="222">
        <f t="shared" si="9"/>
        <v>-30</v>
      </c>
      <c r="H84" s="222">
        <f t="shared" si="10"/>
        <v>-501</v>
      </c>
    </row>
    <row r="85" spans="1:10" ht="27.75" customHeight="1">
      <c r="A85" s="12" t="s">
        <v>517</v>
      </c>
      <c r="B85" s="8" t="s">
        <v>35</v>
      </c>
      <c r="C85" s="1">
        <f>SUM(C86:C88)</f>
        <v>30860</v>
      </c>
      <c r="D85" s="1">
        <f>SUM(D86:D88)</f>
        <v>41886.699999999997</v>
      </c>
      <c r="E85" s="1">
        <f>SUM(E86:E88)</f>
        <v>39593.1</v>
      </c>
      <c r="F85" s="1">
        <f>SUM(F86:F88)</f>
        <v>41886.699999999997</v>
      </c>
      <c r="G85" s="221">
        <f t="shared" si="9"/>
        <v>2293.5999999999985</v>
      </c>
      <c r="H85" s="221">
        <f t="shared" si="10"/>
        <v>-39593.1</v>
      </c>
    </row>
    <row r="86" spans="1:10" ht="27.75" customHeight="1">
      <c r="A86" s="43" t="s">
        <v>22</v>
      </c>
      <c r="B86" s="9">
        <v>8011</v>
      </c>
      <c r="C86" s="10">
        <v>257</v>
      </c>
      <c r="D86" s="10">
        <v>349</v>
      </c>
      <c r="E86" s="21">
        <v>398</v>
      </c>
      <c r="F86" s="21">
        <v>349</v>
      </c>
      <c r="G86" s="222">
        <f t="shared" si="9"/>
        <v>-49</v>
      </c>
      <c r="H86" s="222">
        <f t="shared" si="10"/>
        <v>-398</v>
      </c>
    </row>
    <row r="87" spans="1:10" ht="27.75" customHeight="1">
      <c r="A87" s="43" t="s">
        <v>25</v>
      </c>
      <c r="B87" s="9">
        <v>8012</v>
      </c>
      <c r="C87" s="10">
        <v>2804</v>
      </c>
      <c r="D87" s="10">
        <v>3579.1</v>
      </c>
      <c r="E87" s="21">
        <v>3383</v>
      </c>
      <c r="F87" s="21">
        <v>3579.1</v>
      </c>
      <c r="G87" s="222">
        <f t="shared" si="9"/>
        <v>196.09999999999991</v>
      </c>
      <c r="H87" s="222">
        <f t="shared" si="10"/>
        <v>-3383</v>
      </c>
    </row>
    <row r="88" spans="1:10" ht="27.75" customHeight="1">
      <c r="A88" s="43" t="s">
        <v>23</v>
      </c>
      <c r="B88" s="9">
        <v>8013</v>
      </c>
      <c r="C88" s="10">
        <v>27799</v>
      </c>
      <c r="D88" s="10">
        <v>37958.6</v>
      </c>
      <c r="E88" s="21">
        <v>35812.1</v>
      </c>
      <c r="F88" s="21">
        <v>37958.6</v>
      </c>
      <c r="G88" s="222">
        <f t="shared" si="9"/>
        <v>2146.5</v>
      </c>
      <c r="H88" s="222">
        <f t="shared" si="10"/>
        <v>-35812.1</v>
      </c>
    </row>
    <row r="89" spans="1:10" ht="27.75" customHeight="1">
      <c r="A89" s="12" t="s">
        <v>2</v>
      </c>
      <c r="B89" s="8">
        <v>8020</v>
      </c>
      <c r="C89" s="1">
        <f>C46</f>
        <v>31068.3</v>
      </c>
      <c r="D89" s="1">
        <f>D46</f>
        <v>41886.699999999997</v>
      </c>
      <c r="E89" s="1">
        <f>SUM(E90:E92)</f>
        <v>39593.1</v>
      </c>
      <c r="F89" s="1">
        <f>F46</f>
        <v>41886.699999999997</v>
      </c>
      <c r="G89" s="221">
        <f t="shared" si="9"/>
        <v>2293.5999999999985</v>
      </c>
      <c r="H89" s="221">
        <f t="shared" si="10"/>
        <v>-39593.1</v>
      </c>
    </row>
    <row r="90" spans="1:10" ht="27.75" customHeight="1">
      <c r="A90" s="43" t="s">
        <v>22</v>
      </c>
      <c r="B90" s="9">
        <v>8021</v>
      </c>
      <c r="C90" s="10">
        <v>257</v>
      </c>
      <c r="D90" s="10">
        <f>D86</f>
        <v>349</v>
      </c>
      <c r="E90" s="21">
        <v>398</v>
      </c>
      <c r="F90" s="21">
        <f>F86</f>
        <v>349</v>
      </c>
      <c r="G90" s="222">
        <f t="shared" si="9"/>
        <v>-49</v>
      </c>
      <c r="H90" s="222">
        <f t="shared" si="10"/>
        <v>-398</v>
      </c>
    </row>
    <row r="91" spans="1:10" ht="27.75" customHeight="1">
      <c r="A91" s="43" t="s">
        <v>25</v>
      </c>
      <c r="B91" s="9">
        <v>8022</v>
      </c>
      <c r="C91" s="10">
        <v>2817</v>
      </c>
      <c r="D91" s="10">
        <f t="shared" ref="D91:F92" si="11">D87</f>
        <v>3579.1</v>
      </c>
      <c r="E91" s="21">
        <v>3383</v>
      </c>
      <c r="F91" s="21">
        <f t="shared" si="11"/>
        <v>3579.1</v>
      </c>
      <c r="G91" s="222">
        <f t="shared" si="9"/>
        <v>196.09999999999991</v>
      </c>
      <c r="H91" s="222">
        <f t="shared" si="10"/>
        <v>-3383</v>
      </c>
    </row>
    <row r="92" spans="1:10" ht="27.75" customHeight="1">
      <c r="A92" s="43" t="s">
        <v>23</v>
      </c>
      <c r="B92" s="9">
        <v>8023</v>
      </c>
      <c r="C92" s="10">
        <v>27994</v>
      </c>
      <c r="D92" s="10">
        <f t="shared" si="11"/>
        <v>37958.6</v>
      </c>
      <c r="E92" s="21">
        <v>35812.1</v>
      </c>
      <c r="F92" s="21">
        <f t="shared" si="11"/>
        <v>37958.6</v>
      </c>
      <c r="G92" s="222">
        <f t="shared" si="9"/>
        <v>2146.5</v>
      </c>
      <c r="H92" s="222">
        <f t="shared" si="10"/>
        <v>-35812.1</v>
      </c>
    </row>
    <row r="93" spans="1:10" s="19" customFormat="1" ht="66" customHeight="1">
      <c r="A93" s="42" t="s">
        <v>49</v>
      </c>
      <c r="B93" s="17" t="s">
        <v>72</v>
      </c>
      <c r="C93" s="18">
        <f t="shared" ref="C93:D96" si="12">(C89/C81)/9*1000</f>
        <v>6153.357100415923</v>
      </c>
      <c r="D93" s="18">
        <f>(D89/D81)/9*1000</f>
        <v>8781.2788259958052</v>
      </c>
      <c r="E93" s="221">
        <f>(E89/E81)/9*1000</f>
        <v>7841.7706476530011</v>
      </c>
      <c r="F93" s="18">
        <f>(F89/F81)/9*1000</f>
        <v>8781.2788259958052</v>
      </c>
      <c r="G93" s="221">
        <f t="shared" si="9"/>
        <v>939.50817834280406</v>
      </c>
      <c r="H93" s="221">
        <f t="shared" si="10"/>
        <v>-7841.7706476530011</v>
      </c>
    </row>
    <row r="94" spans="1:10" ht="27.75" customHeight="1">
      <c r="A94" s="43" t="s">
        <v>22</v>
      </c>
      <c r="B94" s="9">
        <v>8031</v>
      </c>
      <c r="C94" s="20">
        <f t="shared" si="12"/>
        <v>28555.555555555558</v>
      </c>
      <c r="D94" s="20">
        <f>(D90/D82)/9*1000</f>
        <v>38777.777777777781</v>
      </c>
      <c r="E94" s="222">
        <f t="shared" ref="E94:E96" si="13">(E90/E82)/9*1000</f>
        <v>44222.222222222219</v>
      </c>
      <c r="F94" s="20">
        <f>(F90/F82)/9*1000</f>
        <v>38777.777777777781</v>
      </c>
      <c r="G94" s="222">
        <f t="shared" si="9"/>
        <v>-5444.444444444438</v>
      </c>
      <c r="H94" s="222">
        <f t="shared" si="10"/>
        <v>-44222.222222222219</v>
      </c>
    </row>
    <row r="95" spans="1:10" ht="27.75" customHeight="1">
      <c r="A95" s="43" t="s">
        <v>25</v>
      </c>
      <c r="B95" s="9">
        <v>8032</v>
      </c>
      <c r="C95" s="20">
        <f t="shared" si="12"/>
        <v>5305.0847457627124</v>
      </c>
      <c r="D95" s="20">
        <f t="shared" si="12"/>
        <v>6856.5134099616853</v>
      </c>
      <c r="E95" s="222">
        <f t="shared" si="13"/>
        <v>6370.9981167608285</v>
      </c>
      <c r="F95" s="20">
        <f>(F91/F83)/9*1000</f>
        <v>6856.5134099616853</v>
      </c>
      <c r="G95" s="222">
        <f t="shared" si="9"/>
        <v>485.51529320085683</v>
      </c>
      <c r="H95" s="222">
        <f t="shared" si="10"/>
        <v>-6370.9981167608285</v>
      </c>
    </row>
    <row r="96" spans="1:10" ht="27.75" customHeight="1" thickBot="1">
      <c r="A96" s="44" t="s">
        <v>23</v>
      </c>
      <c r="B96" s="16">
        <v>8033</v>
      </c>
      <c r="C96" s="45">
        <f t="shared" si="12"/>
        <v>6208.4719449988906</v>
      </c>
      <c r="D96" s="45">
        <f t="shared" si="12"/>
        <v>8954.6119367775427</v>
      </c>
      <c r="E96" s="223">
        <f t="shared" si="13"/>
        <v>7942.359724994456</v>
      </c>
      <c r="F96" s="45">
        <f>(F92/F84)/9*1000</f>
        <v>8954.6119367775427</v>
      </c>
      <c r="G96" s="223">
        <f t="shared" si="9"/>
        <v>1012.2522117830868</v>
      </c>
      <c r="H96" s="223">
        <f>G96-F96</f>
        <v>-7942.359724994456</v>
      </c>
    </row>
    <row r="97" spans="1:8" s="19" customFormat="1">
      <c r="A97" s="22"/>
      <c r="C97" s="23"/>
      <c r="D97" s="24"/>
      <c r="E97" s="25"/>
      <c r="F97" s="25"/>
      <c r="G97" s="25"/>
      <c r="H97" s="25"/>
    </row>
    <row r="98" spans="1:8" s="19" customFormat="1">
      <c r="A98" s="22"/>
      <c r="C98" s="23"/>
      <c r="D98" s="24"/>
      <c r="E98" s="25"/>
      <c r="F98" s="25"/>
      <c r="G98" s="25"/>
      <c r="H98" s="25"/>
    </row>
    <row r="99" spans="1:8" s="19" customFormat="1" ht="28.5" customHeight="1">
      <c r="A99" s="240" t="s">
        <v>604</v>
      </c>
      <c r="B99" s="26"/>
      <c r="C99" s="276"/>
      <c r="D99" s="277"/>
      <c r="E99" s="27"/>
      <c r="F99" s="27"/>
      <c r="G99" s="278" t="s">
        <v>536</v>
      </c>
      <c r="H99" s="278"/>
    </row>
    <row r="100" spans="1:8" s="19" customFormat="1">
      <c r="A100" s="19" t="s">
        <v>11</v>
      </c>
      <c r="B100" s="2"/>
      <c r="C100" s="274" t="s">
        <v>12</v>
      </c>
      <c r="D100" s="274"/>
      <c r="E100" s="3"/>
      <c r="F100" s="3"/>
      <c r="G100" s="275" t="s">
        <v>17</v>
      </c>
      <c r="H100" s="275"/>
    </row>
    <row r="101" spans="1:8" s="19" customFormat="1">
      <c r="A101" s="28"/>
      <c r="E101" s="2"/>
      <c r="F101" s="2"/>
      <c r="G101" s="2"/>
      <c r="H101" s="2"/>
    </row>
    <row r="102" spans="1:8" s="19" customFormat="1">
      <c r="A102" s="28"/>
      <c r="E102" s="2"/>
      <c r="F102" s="2"/>
      <c r="G102" s="2"/>
      <c r="H102" s="2"/>
    </row>
    <row r="103" spans="1:8" s="19" customFormat="1">
      <c r="A103" s="28"/>
      <c r="E103" s="2"/>
      <c r="F103" s="2"/>
      <c r="G103" s="2"/>
      <c r="H103" s="2"/>
    </row>
    <row r="104" spans="1:8" s="19" customFormat="1">
      <c r="A104" s="28"/>
      <c r="E104" s="2"/>
      <c r="F104" s="2"/>
      <c r="G104" s="2"/>
      <c r="H104" s="2"/>
    </row>
    <row r="105" spans="1:8" s="19" customFormat="1">
      <c r="A105" s="28"/>
      <c r="E105" s="2"/>
      <c r="F105" s="2"/>
      <c r="G105" s="2"/>
      <c r="H105" s="2"/>
    </row>
    <row r="106" spans="1:8" s="19" customFormat="1">
      <c r="A106" s="28"/>
      <c r="E106" s="2"/>
      <c r="F106" s="2"/>
      <c r="G106" s="2"/>
      <c r="H106" s="2"/>
    </row>
    <row r="107" spans="1:8" s="19" customFormat="1">
      <c r="A107" s="28"/>
      <c r="E107" s="2"/>
      <c r="F107" s="2"/>
      <c r="G107" s="2"/>
      <c r="H107" s="2"/>
    </row>
    <row r="108" spans="1:8" s="19" customFormat="1">
      <c r="A108" s="28"/>
      <c r="E108" s="2"/>
      <c r="F108" s="2"/>
      <c r="G108" s="2"/>
      <c r="H108" s="2"/>
    </row>
    <row r="109" spans="1:8" s="19" customFormat="1">
      <c r="A109" s="28"/>
      <c r="E109" s="2"/>
      <c r="F109" s="2"/>
      <c r="G109" s="2"/>
      <c r="H109" s="2"/>
    </row>
    <row r="110" spans="1:8" s="19" customFormat="1">
      <c r="A110" s="28"/>
      <c r="E110" s="2"/>
      <c r="F110" s="2"/>
      <c r="G110" s="2"/>
      <c r="H110" s="2"/>
    </row>
    <row r="111" spans="1:8" s="19" customFormat="1">
      <c r="A111" s="28"/>
      <c r="E111" s="2"/>
      <c r="F111" s="2"/>
      <c r="G111" s="2"/>
      <c r="H111" s="2"/>
    </row>
    <row r="112" spans="1:8" s="19" customFormat="1">
      <c r="A112" s="28"/>
      <c r="E112" s="2"/>
      <c r="F112" s="2"/>
      <c r="G112" s="2"/>
      <c r="H112" s="2"/>
    </row>
    <row r="113" spans="1:8" s="19" customFormat="1">
      <c r="A113" s="28"/>
      <c r="E113" s="2"/>
      <c r="F113" s="2"/>
      <c r="G113" s="2"/>
      <c r="H113" s="2"/>
    </row>
    <row r="114" spans="1:8" s="19" customFormat="1">
      <c r="A114" s="28"/>
      <c r="E114" s="2"/>
      <c r="F114" s="2"/>
      <c r="G114" s="2"/>
      <c r="H114" s="2"/>
    </row>
    <row r="115" spans="1:8" s="19" customFormat="1">
      <c r="A115" s="28"/>
      <c r="E115" s="2"/>
      <c r="F115" s="2"/>
      <c r="G115" s="2"/>
      <c r="H115" s="2"/>
    </row>
    <row r="116" spans="1:8" s="19" customFormat="1">
      <c r="A116" s="28"/>
      <c r="E116" s="2"/>
      <c r="F116" s="2"/>
      <c r="G116" s="2"/>
      <c r="H116" s="2"/>
    </row>
    <row r="117" spans="1:8" s="19" customFormat="1">
      <c r="A117" s="28"/>
      <c r="E117" s="2"/>
      <c r="F117" s="2"/>
      <c r="G117" s="2"/>
      <c r="H117" s="2"/>
    </row>
    <row r="118" spans="1:8" s="19" customFormat="1">
      <c r="A118" s="28"/>
      <c r="E118" s="2"/>
      <c r="F118" s="2"/>
      <c r="G118" s="2"/>
      <c r="H118" s="2"/>
    </row>
    <row r="119" spans="1:8" s="19" customFormat="1">
      <c r="A119" s="28"/>
      <c r="E119" s="2"/>
      <c r="F119" s="2"/>
      <c r="G119" s="2"/>
      <c r="H119" s="2"/>
    </row>
    <row r="120" spans="1:8" s="19" customFormat="1">
      <c r="A120" s="28"/>
      <c r="E120" s="2"/>
      <c r="F120" s="2"/>
      <c r="G120" s="2"/>
      <c r="H120" s="2"/>
    </row>
    <row r="121" spans="1:8" s="19" customFormat="1">
      <c r="A121" s="28"/>
      <c r="E121" s="2"/>
      <c r="F121" s="2"/>
      <c r="G121" s="2"/>
      <c r="H121" s="2"/>
    </row>
    <row r="122" spans="1:8" s="19" customFormat="1">
      <c r="A122" s="28"/>
      <c r="E122" s="2"/>
      <c r="F122" s="2"/>
      <c r="G122" s="2"/>
      <c r="H122" s="2"/>
    </row>
    <row r="123" spans="1:8" s="19" customFormat="1">
      <c r="A123" s="28"/>
      <c r="E123" s="2"/>
      <c r="F123" s="2"/>
      <c r="G123" s="2"/>
      <c r="H123" s="2"/>
    </row>
    <row r="124" spans="1:8" s="19" customFormat="1">
      <c r="A124" s="28"/>
      <c r="E124" s="2"/>
      <c r="F124" s="2"/>
      <c r="G124" s="2"/>
      <c r="H124" s="2"/>
    </row>
    <row r="125" spans="1:8" s="19" customFormat="1">
      <c r="A125" s="28"/>
      <c r="E125" s="2"/>
      <c r="F125" s="2"/>
      <c r="G125" s="2"/>
      <c r="H125" s="2"/>
    </row>
    <row r="126" spans="1:8" s="19" customFormat="1">
      <c r="A126" s="28"/>
      <c r="E126" s="2"/>
      <c r="F126" s="2"/>
      <c r="G126" s="2"/>
      <c r="H126" s="2"/>
    </row>
    <row r="127" spans="1:8" s="19" customFormat="1">
      <c r="A127" s="28"/>
      <c r="E127" s="2"/>
      <c r="F127" s="2"/>
      <c r="G127" s="2"/>
      <c r="H127" s="2"/>
    </row>
    <row r="128" spans="1:8" s="19" customFormat="1">
      <c r="A128" s="28"/>
      <c r="E128" s="2"/>
      <c r="F128" s="2"/>
      <c r="G128" s="2"/>
      <c r="H128" s="2"/>
    </row>
    <row r="129" spans="1:8" s="19" customFormat="1">
      <c r="A129" s="28"/>
      <c r="E129" s="2"/>
      <c r="F129" s="2"/>
      <c r="G129" s="2"/>
      <c r="H129" s="2"/>
    </row>
    <row r="130" spans="1:8" s="19" customFormat="1">
      <c r="A130" s="28"/>
      <c r="E130" s="2"/>
      <c r="F130" s="2"/>
      <c r="G130" s="2"/>
      <c r="H130" s="2"/>
    </row>
    <row r="131" spans="1:8" s="19" customFormat="1">
      <c r="A131" s="28"/>
      <c r="E131" s="2"/>
      <c r="F131" s="2"/>
      <c r="G131" s="2"/>
      <c r="H131" s="2"/>
    </row>
    <row r="132" spans="1:8" s="19" customFormat="1">
      <c r="A132" s="28"/>
      <c r="E132" s="2"/>
      <c r="F132" s="2"/>
      <c r="G132" s="2"/>
      <c r="H132" s="2"/>
    </row>
    <row r="133" spans="1:8" s="19" customFormat="1">
      <c r="A133" s="28"/>
      <c r="E133" s="2"/>
      <c r="F133" s="2"/>
      <c r="G133" s="2"/>
      <c r="H133" s="2"/>
    </row>
    <row r="134" spans="1:8" s="19" customFormat="1">
      <c r="A134" s="28"/>
      <c r="E134" s="2"/>
      <c r="F134" s="2"/>
      <c r="G134" s="2"/>
      <c r="H134" s="2"/>
    </row>
    <row r="135" spans="1:8" s="19" customFormat="1">
      <c r="A135" s="28"/>
      <c r="E135" s="2"/>
      <c r="F135" s="2"/>
      <c r="G135" s="2"/>
      <c r="H135" s="2"/>
    </row>
    <row r="136" spans="1:8" s="19" customFormat="1">
      <c r="A136" s="28"/>
      <c r="E136" s="2"/>
      <c r="F136" s="2"/>
      <c r="G136" s="2"/>
      <c r="H136" s="2"/>
    </row>
    <row r="137" spans="1:8" s="19" customFormat="1">
      <c r="A137" s="28"/>
      <c r="E137" s="2"/>
      <c r="F137" s="2"/>
      <c r="G137" s="2"/>
      <c r="H137" s="2"/>
    </row>
    <row r="138" spans="1:8" s="19" customFormat="1">
      <c r="A138" s="28"/>
      <c r="E138" s="2"/>
      <c r="F138" s="2"/>
      <c r="G138" s="2"/>
      <c r="H138" s="2"/>
    </row>
    <row r="139" spans="1:8" s="19" customFormat="1">
      <c r="A139" s="28"/>
      <c r="E139" s="2"/>
      <c r="F139" s="2"/>
      <c r="G139" s="2"/>
      <c r="H139" s="2"/>
    </row>
    <row r="140" spans="1:8" s="19" customFormat="1">
      <c r="A140" s="28"/>
      <c r="E140" s="2"/>
      <c r="F140" s="2"/>
      <c r="G140" s="2"/>
      <c r="H140" s="2"/>
    </row>
    <row r="141" spans="1:8" s="19" customFormat="1">
      <c r="A141" s="28"/>
      <c r="E141" s="2"/>
      <c r="F141" s="2"/>
      <c r="G141" s="2"/>
      <c r="H141" s="2"/>
    </row>
    <row r="142" spans="1:8" s="19" customFormat="1">
      <c r="A142" s="28"/>
      <c r="E142" s="2"/>
      <c r="F142" s="2"/>
      <c r="G142" s="2"/>
      <c r="H142" s="2"/>
    </row>
    <row r="143" spans="1:8" s="19" customFormat="1">
      <c r="A143" s="28"/>
      <c r="E143" s="2"/>
      <c r="F143" s="2"/>
      <c r="G143" s="2"/>
      <c r="H143" s="2"/>
    </row>
    <row r="144" spans="1:8" s="19" customFormat="1">
      <c r="A144" s="28"/>
      <c r="E144" s="2"/>
      <c r="F144" s="2"/>
      <c r="G144" s="2"/>
      <c r="H144" s="2"/>
    </row>
    <row r="145" spans="1:8" s="19" customFormat="1">
      <c r="A145" s="28"/>
      <c r="E145" s="2"/>
      <c r="F145" s="2"/>
      <c r="G145" s="2"/>
      <c r="H145" s="2"/>
    </row>
    <row r="146" spans="1:8" s="19" customFormat="1">
      <c r="A146" s="28"/>
      <c r="E146" s="2"/>
      <c r="F146" s="2"/>
      <c r="G146" s="2"/>
      <c r="H146" s="2"/>
    </row>
    <row r="147" spans="1:8" s="19" customFormat="1">
      <c r="A147" s="28"/>
      <c r="E147" s="2"/>
      <c r="F147" s="2"/>
      <c r="G147" s="2"/>
      <c r="H147" s="2"/>
    </row>
    <row r="148" spans="1:8" s="19" customFormat="1">
      <c r="A148" s="28"/>
      <c r="E148" s="2"/>
      <c r="F148" s="2"/>
      <c r="G148" s="2"/>
      <c r="H148" s="2"/>
    </row>
    <row r="149" spans="1:8" s="19" customFormat="1">
      <c r="A149" s="28"/>
      <c r="E149" s="2"/>
      <c r="F149" s="2"/>
      <c r="G149" s="2"/>
      <c r="H149" s="2"/>
    </row>
    <row r="150" spans="1:8" s="19" customFormat="1">
      <c r="A150" s="28"/>
      <c r="E150" s="2"/>
      <c r="F150" s="2"/>
      <c r="G150" s="2"/>
      <c r="H150" s="2"/>
    </row>
    <row r="151" spans="1:8" s="19" customFormat="1">
      <c r="A151" s="28"/>
      <c r="E151" s="2"/>
      <c r="F151" s="2"/>
      <c r="G151" s="2"/>
      <c r="H151" s="2"/>
    </row>
    <row r="152" spans="1:8" s="19" customFormat="1">
      <c r="A152" s="28"/>
      <c r="E152" s="2"/>
      <c r="F152" s="2"/>
      <c r="G152" s="2"/>
      <c r="H152" s="2"/>
    </row>
    <row r="153" spans="1:8" s="19" customFormat="1">
      <c r="A153" s="28"/>
      <c r="E153" s="2"/>
      <c r="F153" s="2"/>
      <c r="G153" s="2"/>
      <c r="H153" s="2"/>
    </row>
    <row r="154" spans="1:8" s="19" customFormat="1">
      <c r="A154" s="28"/>
      <c r="E154" s="2"/>
      <c r="F154" s="2"/>
      <c r="G154" s="2"/>
      <c r="H154" s="2"/>
    </row>
    <row r="155" spans="1:8" s="19" customFormat="1">
      <c r="A155" s="28"/>
      <c r="E155" s="2"/>
      <c r="F155" s="2"/>
      <c r="G155" s="2"/>
      <c r="H155" s="2"/>
    </row>
    <row r="156" spans="1:8" s="19" customFormat="1">
      <c r="A156" s="28"/>
      <c r="E156" s="2"/>
      <c r="F156" s="2"/>
      <c r="G156" s="2"/>
      <c r="H156" s="2"/>
    </row>
    <row r="157" spans="1:8" s="19" customFormat="1">
      <c r="A157" s="28"/>
      <c r="E157" s="2"/>
      <c r="F157" s="2"/>
      <c r="G157" s="2"/>
      <c r="H157" s="2"/>
    </row>
    <row r="158" spans="1:8" s="19" customFormat="1">
      <c r="A158" s="28"/>
      <c r="E158" s="2"/>
      <c r="F158" s="2"/>
      <c r="G158" s="2"/>
      <c r="H158" s="2"/>
    </row>
    <row r="159" spans="1:8" s="19" customFormat="1">
      <c r="A159" s="28"/>
      <c r="E159" s="2"/>
      <c r="F159" s="2"/>
      <c r="G159" s="2"/>
      <c r="H159" s="2"/>
    </row>
    <row r="160" spans="1:8" s="19" customFormat="1">
      <c r="A160" s="28"/>
      <c r="E160" s="2"/>
      <c r="F160" s="2"/>
      <c r="G160" s="2"/>
      <c r="H160" s="2"/>
    </row>
    <row r="161" spans="1:8" s="19" customFormat="1">
      <c r="A161" s="28"/>
      <c r="E161" s="2"/>
      <c r="F161" s="2"/>
      <c r="G161" s="2"/>
      <c r="H161" s="2"/>
    </row>
    <row r="162" spans="1:8" s="19" customFormat="1">
      <c r="A162" s="28"/>
      <c r="E162" s="2"/>
      <c r="F162" s="2"/>
      <c r="G162" s="2"/>
      <c r="H162" s="2"/>
    </row>
    <row r="163" spans="1:8" s="19" customFormat="1">
      <c r="A163" s="28"/>
      <c r="E163" s="2"/>
      <c r="F163" s="2"/>
      <c r="G163" s="2"/>
      <c r="H163" s="2"/>
    </row>
    <row r="164" spans="1:8" s="19" customFormat="1">
      <c r="A164" s="28"/>
      <c r="E164" s="2"/>
      <c r="F164" s="2"/>
      <c r="G164" s="2"/>
      <c r="H164" s="2"/>
    </row>
    <row r="165" spans="1:8" s="19" customFormat="1">
      <c r="A165" s="28"/>
      <c r="E165" s="2"/>
      <c r="F165" s="2"/>
      <c r="G165" s="2"/>
      <c r="H165" s="2"/>
    </row>
    <row r="166" spans="1:8" s="19" customFormat="1">
      <c r="A166" s="28"/>
      <c r="E166" s="2"/>
      <c r="F166" s="2"/>
      <c r="G166" s="2"/>
      <c r="H166" s="2"/>
    </row>
    <row r="167" spans="1:8" s="19" customFormat="1">
      <c r="A167" s="28"/>
      <c r="E167" s="2"/>
      <c r="F167" s="2"/>
      <c r="G167" s="2"/>
      <c r="H167" s="2"/>
    </row>
    <row r="168" spans="1:8" s="19" customFormat="1">
      <c r="A168" s="28"/>
      <c r="E168" s="2"/>
      <c r="F168" s="2"/>
      <c r="G168" s="2"/>
      <c r="H168" s="2"/>
    </row>
    <row r="169" spans="1:8" s="19" customFormat="1">
      <c r="A169" s="28"/>
      <c r="E169" s="2"/>
      <c r="F169" s="2"/>
      <c r="G169" s="2"/>
      <c r="H169" s="2"/>
    </row>
    <row r="170" spans="1:8" s="19" customFormat="1">
      <c r="A170" s="28"/>
      <c r="E170" s="2"/>
      <c r="F170" s="2"/>
      <c r="G170" s="2"/>
      <c r="H170" s="2"/>
    </row>
    <row r="171" spans="1:8" s="19" customFormat="1">
      <c r="A171" s="28"/>
      <c r="E171" s="2"/>
      <c r="F171" s="2"/>
      <c r="G171" s="2"/>
      <c r="H171" s="2"/>
    </row>
    <row r="172" spans="1:8" s="19" customFormat="1">
      <c r="A172" s="28"/>
      <c r="E172" s="2"/>
      <c r="F172" s="2"/>
      <c r="G172" s="2"/>
      <c r="H172" s="2"/>
    </row>
    <row r="173" spans="1:8" s="19" customFormat="1">
      <c r="A173" s="28"/>
      <c r="E173" s="2"/>
      <c r="F173" s="2"/>
      <c r="G173" s="2"/>
      <c r="H173" s="2"/>
    </row>
    <row r="174" spans="1:8" s="19" customFormat="1">
      <c r="A174" s="28"/>
      <c r="E174" s="2"/>
      <c r="F174" s="2"/>
      <c r="G174" s="2"/>
      <c r="H174" s="2"/>
    </row>
    <row r="175" spans="1:8" s="19" customFormat="1">
      <c r="A175" s="28"/>
      <c r="E175" s="2"/>
      <c r="F175" s="2"/>
      <c r="G175" s="2"/>
      <c r="H175" s="2"/>
    </row>
    <row r="176" spans="1:8" s="19" customFormat="1">
      <c r="A176" s="28"/>
      <c r="E176" s="2"/>
      <c r="F176" s="2"/>
      <c r="G176" s="2"/>
      <c r="H176" s="2"/>
    </row>
    <row r="177" spans="1:8" s="19" customFormat="1">
      <c r="A177" s="28"/>
      <c r="E177" s="2"/>
      <c r="F177" s="2"/>
      <c r="G177" s="2"/>
      <c r="H177" s="2"/>
    </row>
    <row r="178" spans="1:8" s="19" customFormat="1">
      <c r="A178" s="28"/>
      <c r="E178" s="2"/>
      <c r="F178" s="2"/>
      <c r="G178" s="2"/>
      <c r="H178" s="2"/>
    </row>
    <row r="179" spans="1:8" s="19" customFormat="1">
      <c r="A179" s="28"/>
      <c r="E179" s="2"/>
      <c r="F179" s="2"/>
      <c r="G179" s="2"/>
      <c r="H179" s="2"/>
    </row>
    <row r="180" spans="1:8" s="19" customFormat="1">
      <c r="A180" s="28"/>
      <c r="E180" s="2"/>
      <c r="F180" s="2"/>
      <c r="G180" s="2"/>
      <c r="H180" s="2"/>
    </row>
    <row r="181" spans="1:8" s="19" customFormat="1">
      <c r="A181" s="28"/>
      <c r="E181" s="2"/>
      <c r="F181" s="2"/>
      <c r="G181" s="2"/>
      <c r="H181" s="2"/>
    </row>
    <row r="182" spans="1:8" s="19" customFormat="1">
      <c r="A182" s="28"/>
      <c r="E182" s="2"/>
      <c r="F182" s="2"/>
      <c r="G182" s="2"/>
      <c r="H182" s="2"/>
    </row>
    <row r="183" spans="1:8" s="19" customFormat="1">
      <c r="A183" s="28"/>
      <c r="E183" s="2"/>
      <c r="F183" s="2"/>
      <c r="G183" s="2"/>
      <c r="H183" s="2"/>
    </row>
    <row r="184" spans="1:8" s="19" customFormat="1">
      <c r="A184" s="28"/>
      <c r="E184" s="2"/>
      <c r="F184" s="2"/>
      <c r="G184" s="2"/>
      <c r="H184" s="2"/>
    </row>
    <row r="185" spans="1:8" s="19" customFormat="1">
      <c r="A185" s="28"/>
      <c r="E185" s="2"/>
      <c r="F185" s="2"/>
      <c r="G185" s="2"/>
      <c r="H185" s="2"/>
    </row>
    <row r="186" spans="1:8" s="19" customFormat="1">
      <c r="A186" s="28"/>
      <c r="E186" s="2"/>
      <c r="F186" s="2"/>
      <c r="G186" s="2"/>
      <c r="H186" s="2"/>
    </row>
    <row r="187" spans="1:8" s="19" customFormat="1">
      <c r="A187" s="28"/>
      <c r="E187" s="2"/>
      <c r="F187" s="2"/>
      <c r="G187" s="2"/>
      <c r="H187" s="2"/>
    </row>
    <row r="188" spans="1:8" s="19" customFormat="1">
      <c r="A188" s="28"/>
      <c r="E188" s="2"/>
      <c r="F188" s="2"/>
      <c r="G188" s="2"/>
      <c r="H188" s="2"/>
    </row>
    <row r="189" spans="1:8" s="19" customFormat="1">
      <c r="A189" s="28"/>
      <c r="E189" s="2"/>
      <c r="F189" s="2"/>
      <c r="G189" s="2"/>
      <c r="H189" s="2"/>
    </row>
    <row r="190" spans="1:8" s="19" customFormat="1">
      <c r="A190" s="28"/>
      <c r="E190" s="2"/>
      <c r="F190" s="2"/>
      <c r="G190" s="2"/>
      <c r="H190" s="2"/>
    </row>
    <row r="191" spans="1:8" s="19" customFormat="1">
      <c r="A191" s="28"/>
      <c r="E191" s="2"/>
      <c r="F191" s="2"/>
      <c r="G191" s="2"/>
      <c r="H191" s="2"/>
    </row>
    <row r="192" spans="1:8" s="19" customFormat="1">
      <c r="A192" s="28"/>
      <c r="E192" s="2"/>
      <c r="F192" s="2"/>
      <c r="G192" s="2"/>
      <c r="H192" s="2"/>
    </row>
    <row r="193" spans="1:8" s="19" customFormat="1">
      <c r="A193" s="28"/>
      <c r="E193" s="2"/>
      <c r="F193" s="2"/>
      <c r="G193" s="2"/>
      <c r="H193" s="2"/>
    </row>
    <row r="194" spans="1:8" s="19" customFormat="1">
      <c r="A194" s="28"/>
      <c r="E194" s="2"/>
      <c r="F194" s="2"/>
      <c r="G194" s="2"/>
      <c r="H194" s="2"/>
    </row>
    <row r="195" spans="1:8" s="19" customFormat="1">
      <c r="A195" s="28"/>
      <c r="E195" s="2"/>
      <c r="F195" s="2"/>
      <c r="G195" s="2"/>
      <c r="H195" s="2"/>
    </row>
    <row r="196" spans="1:8" s="19" customFormat="1">
      <c r="A196" s="28"/>
      <c r="E196" s="2"/>
      <c r="F196" s="2"/>
      <c r="G196" s="2"/>
      <c r="H196" s="2"/>
    </row>
    <row r="197" spans="1:8" s="19" customFormat="1">
      <c r="A197" s="28"/>
      <c r="E197" s="2"/>
      <c r="F197" s="2"/>
      <c r="G197" s="2"/>
      <c r="H197" s="2"/>
    </row>
    <row r="198" spans="1:8" s="19" customFormat="1">
      <c r="A198" s="28"/>
      <c r="E198" s="2"/>
      <c r="F198" s="2"/>
      <c r="G198" s="2"/>
      <c r="H198" s="2"/>
    </row>
    <row r="199" spans="1:8" s="19" customFormat="1">
      <c r="A199" s="28"/>
      <c r="E199" s="2"/>
      <c r="F199" s="2"/>
      <c r="G199" s="2"/>
      <c r="H199" s="2"/>
    </row>
    <row r="200" spans="1:8" s="19" customFormat="1">
      <c r="A200" s="28"/>
      <c r="E200" s="2"/>
      <c r="F200" s="2"/>
      <c r="G200" s="2"/>
      <c r="H200" s="2"/>
    </row>
    <row r="201" spans="1:8" s="19" customFormat="1">
      <c r="A201" s="28"/>
      <c r="E201" s="2"/>
      <c r="F201" s="2"/>
      <c r="G201" s="2"/>
      <c r="H201" s="2"/>
    </row>
    <row r="202" spans="1:8" s="19" customFormat="1">
      <c r="A202" s="28"/>
      <c r="E202" s="2"/>
      <c r="F202" s="2"/>
      <c r="G202" s="2"/>
      <c r="H202" s="2"/>
    </row>
    <row r="203" spans="1:8" s="19" customFormat="1">
      <c r="A203" s="28"/>
      <c r="E203" s="2"/>
      <c r="F203" s="2"/>
      <c r="G203" s="2"/>
      <c r="H203" s="2"/>
    </row>
    <row r="204" spans="1:8" s="19" customFormat="1">
      <c r="A204" s="28"/>
      <c r="E204" s="2"/>
      <c r="F204" s="2"/>
      <c r="G204" s="2"/>
      <c r="H204" s="2"/>
    </row>
    <row r="205" spans="1:8" s="19" customFormat="1">
      <c r="A205" s="28"/>
      <c r="E205" s="2"/>
      <c r="F205" s="2"/>
      <c r="G205" s="2"/>
      <c r="H205" s="2"/>
    </row>
    <row r="206" spans="1:8" s="19" customFormat="1">
      <c r="A206" s="28"/>
      <c r="E206" s="2"/>
      <c r="F206" s="2"/>
      <c r="G206" s="2"/>
      <c r="H206" s="2"/>
    </row>
    <row r="207" spans="1:8" s="19" customFormat="1">
      <c r="A207" s="28"/>
      <c r="E207" s="2"/>
      <c r="F207" s="2"/>
      <c r="G207" s="2"/>
      <c r="H207" s="2"/>
    </row>
    <row r="208" spans="1:8" s="19" customFormat="1">
      <c r="A208" s="28"/>
      <c r="E208" s="2"/>
      <c r="F208" s="2"/>
      <c r="G208" s="2"/>
      <c r="H208" s="2"/>
    </row>
    <row r="209" spans="1:8" s="19" customFormat="1">
      <c r="A209" s="28"/>
      <c r="E209" s="2"/>
      <c r="F209" s="2"/>
      <c r="G209" s="2"/>
      <c r="H209" s="2"/>
    </row>
    <row r="210" spans="1:8" s="19" customFormat="1">
      <c r="A210" s="28"/>
      <c r="E210" s="2"/>
      <c r="F210" s="2"/>
      <c r="G210" s="2"/>
      <c r="H210" s="2"/>
    </row>
    <row r="211" spans="1:8" s="19" customFormat="1">
      <c r="A211" s="28"/>
      <c r="E211" s="2"/>
      <c r="F211" s="2"/>
      <c r="G211" s="2"/>
      <c r="H211" s="2"/>
    </row>
    <row r="212" spans="1:8" s="19" customFormat="1">
      <c r="A212" s="28"/>
      <c r="E212" s="2"/>
      <c r="F212" s="2"/>
      <c r="G212" s="2"/>
      <c r="H212" s="2"/>
    </row>
    <row r="213" spans="1:8" s="19" customFormat="1">
      <c r="A213" s="28"/>
      <c r="E213" s="2"/>
      <c r="F213" s="2"/>
      <c r="G213" s="2"/>
      <c r="H213" s="2"/>
    </row>
    <row r="214" spans="1:8" s="19" customFormat="1">
      <c r="A214" s="28"/>
      <c r="E214" s="2"/>
      <c r="F214" s="2"/>
      <c r="G214" s="2"/>
      <c r="H214" s="2"/>
    </row>
    <row r="215" spans="1:8" s="19" customFormat="1">
      <c r="A215" s="28"/>
      <c r="E215" s="2"/>
      <c r="F215" s="2"/>
      <c r="G215" s="2"/>
      <c r="H215" s="2"/>
    </row>
    <row r="216" spans="1:8" s="19" customFormat="1">
      <c r="A216" s="28"/>
      <c r="E216" s="2"/>
      <c r="F216" s="2"/>
      <c r="G216" s="2"/>
      <c r="H216" s="2"/>
    </row>
    <row r="217" spans="1:8" s="19" customFormat="1">
      <c r="A217" s="28"/>
      <c r="E217" s="2"/>
      <c r="F217" s="2"/>
      <c r="G217" s="2"/>
      <c r="H217" s="2"/>
    </row>
    <row r="218" spans="1:8" s="19" customFormat="1">
      <c r="A218" s="28"/>
      <c r="E218" s="2"/>
      <c r="F218" s="2"/>
      <c r="G218" s="2"/>
      <c r="H218" s="2"/>
    </row>
    <row r="219" spans="1:8" s="19" customFormat="1">
      <c r="A219" s="28"/>
      <c r="E219" s="2"/>
      <c r="F219" s="2"/>
      <c r="G219" s="2"/>
      <c r="H219" s="2"/>
    </row>
    <row r="220" spans="1:8" s="19" customFormat="1">
      <c r="A220" s="28"/>
      <c r="E220" s="2"/>
      <c r="F220" s="2"/>
      <c r="G220" s="2"/>
      <c r="H220" s="2"/>
    </row>
    <row r="221" spans="1:8" s="19" customFormat="1">
      <c r="A221" s="28"/>
      <c r="E221" s="2"/>
      <c r="F221" s="2"/>
      <c r="G221" s="2"/>
      <c r="H221" s="2"/>
    </row>
    <row r="222" spans="1:8" s="19" customFormat="1">
      <c r="A222" s="28"/>
      <c r="E222" s="2"/>
      <c r="F222" s="2"/>
      <c r="G222" s="2"/>
      <c r="H222" s="2"/>
    </row>
    <row r="223" spans="1:8" s="19" customFormat="1">
      <c r="A223" s="28"/>
      <c r="E223" s="2"/>
      <c r="F223" s="2"/>
      <c r="G223" s="2"/>
      <c r="H223" s="2"/>
    </row>
    <row r="224" spans="1:8" s="19" customFormat="1">
      <c r="A224" s="28"/>
      <c r="E224" s="2"/>
      <c r="F224" s="2"/>
      <c r="G224" s="2"/>
      <c r="H224" s="2"/>
    </row>
    <row r="225" spans="1:8" s="19" customFormat="1">
      <c r="A225" s="28"/>
      <c r="E225" s="2"/>
      <c r="F225" s="2"/>
      <c r="G225" s="2"/>
      <c r="H225" s="2"/>
    </row>
    <row r="226" spans="1:8" s="19" customFormat="1">
      <c r="A226" s="28"/>
      <c r="E226" s="2"/>
      <c r="F226" s="2"/>
      <c r="G226" s="2"/>
      <c r="H226" s="2"/>
    </row>
    <row r="227" spans="1:8" s="19" customFormat="1">
      <c r="A227" s="28"/>
      <c r="E227" s="2"/>
      <c r="F227" s="2"/>
      <c r="G227" s="2"/>
      <c r="H227" s="2"/>
    </row>
    <row r="228" spans="1:8" s="19" customFormat="1">
      <c r="A228" s="28"/>
      <c r="E228" s="2"/>
      <c r="F228" s="2"/>
      <c r="G228" s="2"/>
      <c r="H228" s="2"/>
    </row>
    <row r="229" spans="1:8" s="19" customFormat="1">
      <c r="A229" s="28"/>
      <c r="E229" s="2"/>
      <c r="F229" s="2"/>
      <c r="G229" s="2"/>
      <c r="H229" s="2"/>
    </row>
    <row r="230" spans="1:8" s="19" customFormat="1">
      <c r="A230" s="28"/>
      <c r="E230" s="2"/>
      <c r="F230" s="2"/>
      <c r="G230" s="2"/>
      <c r="H230" s="2"/>
    </row>
    <row r="231" spans="1:8" s="19" customFormat="1">
      <c r="A231" s="28"/>
      <c r="E231" s="2"/>
      <c r="F231" s="2"/>
      <c r="G231" s="2"/>
      <c r="H231" s="2"/>
    </row>
    <row r="232" spans="1:8" s="19" customFormat="1">
      <c r="A232" s="28"/>
      <c r="E232" s="2"/>
      <c r="F232" s="2"/>
      <c r="G232" s="2"/>
      <c r="H232" s="2"/>
    </row>
    <row r="233" spans="1:8" s="19" customFormat="1">
      <c r="A233" s="28"/>
      <c r="E233" s="2"/>
      <c r="F233" s="2"/>
      <c r="G233" s="2"/>
      <c r="H233" s="2"/>
    </row>
    <row r="234" spans="1:8" s="19" customFormat="1">
      <c r="A234" s="28"/>
      <c r="E234" s="2"/>
      <c r="F234" s="2"/>
      <c r="G234" s="2"/>
      <c r="H234" s="2"/>
    </row>
    <row r="235" spans="1:8" s="19" customFormat="1">
      <c r="A235" s="28"/>
      <c r="E235" s="2"/>
      <c r="F235" s="2"/>
      <c r="G235" s="2"/>
      <c r="H235" s="2"/>
    </row>
    <row r="236" spans="1:8" s="19" customFormat="1">
      <c r="A236" s="28"/>
      <c r="E236" s="2"/>
      <c r="F236" s="2"/>
      <c r="G236" s="2"/>
      <c r="H236" s="2"/>
    </row>
    <row r="237" spans="1:8" s="19" customFormat="1">
      <c r="A237" s="28"/>
      <c r="E237" s="2"/>
      <c r="F237" s="2"/>
      <c r="G237" s="2"/>
      <c r="H237" s="2"/>
    </row>
    <row r="238" spans="1:8" s="19" customFormat="1">
      <c r="A238" s="28"/>
      <c r="E238" s="2"/>
      <c r="F238" s="2"/>
      <c r="G238" s="2"/>
      <c r="H238" s="2"/>
    </row>
    <row r="239" spans="1:8" s="19" customFormat="1">
      <c r="A239" s="28"/>
      <c r="E239" s="2"/>
      <c r="F239" s="2"/>
      <c r="G239" s="2"/>
      <c r="H239" s="2"/>
    </row>
    <row r="240" spans="1:8" s="19" customFormat="1">
      <c r="A240" s="28"/>
      <c r="E240" s="2"/>
      <c r="F240" s="2"/>
      <c r="G240" s="2"/>
      <c r="H240" s="2"/>
    </row>
    <row r="241" spans="1:8" s="19" customFormat="1">
      <c r="A241" s="28"/>
      <c r="E241" s="2"/>
      <c r="F241" s="2"/>
      <c r="G241" s="2"/>
      <c r="H241" s="2"/>
    </row>
    <row r="242" spans="1:8" s="19" customFormat="1">
      <c r="A242" s="28"/>
      <c r="E242" s="2"/>
      <c r="F242" s="2"/>
      <c r="G242" s="2"/>
      <c r="H242" s="2"/>
    </row>
    <row r="243" spans="1:8" s="19" customFormat="1">
      <c r="A243" s="28"/>
      <c r="E243" s="2"/>
      <c r="F243" s="2"/>
      <c r="G243" s="2"/>
      <c r="H243" s="2"/>
    </row>
    <row r="244" spans="1:8" s="19" customFormat="1">
      <c r="A244" s="28"/>
      <c r="E244" s="2"/>
      <c r="F244" s="2"/>
      <c r="G244" s="2"/>
      <c r="H244" s="2"/>
    </row>
    <row r="245" spans="1:8" s="19" customFormat="1">
      <c r="A245" s="28"/>
      <c r="E245" s="2"/>
      <c r="F245" s="2"/>
      <c r="G245" s="2"/>
      <c r="H245" s="2"/>
    </row>
    <row r="246" spans="1:8" s="19" customFormat="1">
      <c r="A246" s="28"/>
      <c r="E246" s="2"/>
      <c r="F246" s="2"/>
      <c r="G246" s="2"/>
      <c r="H246" s="2"/>
    </row>
    <row r="247" spans="1:8" s="19" customFormat="1">
      <c r="A247" s="28"/>
      <c r="E247" s="2"/>
      <c r="F247" s="2"/>
      <c r="G247" s="2"/>
      <c r="H247" s="2"/>
    </row>
    <row r="248" spans="1:8" s="19" customFormat="1">
      <c r="A248" s="28"/>
      <c r="E248" s="2"/>
      <c r="F248" s="2"/>
      <c r="G248" s="2"/>
      <c r="H248" s="2"/>
    </row>
    <row r="249" spans="1:8" s="19" customFormat="1">
      <c r="A249" s="28"/>
      <c r="E249" s="2"/>
      <c r="F249" s="2"/>
      <c r="G249" s="2"/>
      <c r="H249" s="2"/>
    </row>
    <row r="250" spans="1:8" s="19" customFormat="1">
      <c r="A250" s="28"/>
      <c r="E250" s="2"/>
      <c r="F250" s="2"/>
      <c r="G250" s="2"/>
      <c r="H250" s="2"/>
    </row>
    <row r="251" spans="1:8" s="19" customFormat="1">
      <c r="A251" s="28"/>
      <c r="E251" s="2"/>
      <c r="F251" s="2"/>
      <c r="G251" s="2"/>
      <c r="H251" s="2"/>
    </row>
  </sheetData>
  <mergeCells count="17">
    <mergeCell ref="C100:D100"/>
    <mergeCell ref="G100:H100"/>
    <mergeCell ref="C99:D99"/>
    <mergeCell ref="G99:H99"/>
    <mergeCell ref="A78:H78"/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</mergeCells>
  <phoneticPr fontId="3" type="noConversion"/>
  <pageMargins left="0.23622047244094491" right="0.23622047244094491" top="0.23622047244094491" bottom="0.23622047244094491" header="0.39370078740157483" footer="0.19685039370078741"/>
  <pageSetup paperSize="9" scale="70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75"/>
  <sheetViews>
    <sheetView view="pageBreakPreview" zoomScale="70" zoomScaleSheetLayoutView="70" workbookViewId="0">
      <selection activeCell="E19" sqref="E19"/>
    </sheetView>
  </sheetViews>
  <sheetFormatPr defaultRowHeight="18.75"/>
  <cols>
    <col min="1" max="1" width="7.28515625" style="32" customWidth="1"/>
    <col min="2" max="2" width="51.5703125" style="32" customWidth="1"/>
    <col min="3" max="3" width="12" style="146" customWidth="1"/>
    <col min="4" max="4" width="16.140625" style="146" customWidth="1"/>
    <col min="5" max="5" width="16.7109375" style="146" customWidth="1"/>
    <col min="6" max="6" width="16.140625" style="146" customWidth="1"/>
    <col min="7" max="7" width="17.28515625" style="32" customWidth="1"/>
    <col min="8" max="8" width="17.5703125" style="32" customWidth="1"/>
    <col min="9" max="16384" width="9.140625" style="32"/>
  </cols>
  <sheetData>
    <row r="2" spans="1:8" ht="20.25">
      <c r="B2" s="282" t="s">
        <v>102</v>
      </c>
      <c r="C2" s="282"/>
      <c r="D2" s="282"/>
      <c r="E2" s="282"/>
      <c r="F2" s="282"/>
    </row>
    <row r="3" spans="1:8">
      <c r="B3" s="86"/>
      <c r="C3" s="144"/>
      <c r="D3" s="86"/>
      <c r="E3" s="86"/>
      <c r="F3" s="86"/>
      <c r="H3" s="32" t="s">
        <v>65</v>
      </c>
    </row>
    <row r="4" spans="1:8" ht="65.25" customHeight="1">
      <c r="A4" s="87" t="s">
        <v>75</v>
      </c>
      <c r="B4" s="87" t="s">
        <v>24</v>
      </c>
      <c r="C4" s="88" t="s">
        <v>5</v>
      </c>
      <c r="D4" s="68" t="s">
        <v>137</v>
      </c>
      <c r="E4" s="88" t="s">
        <v>138</v>
      </c>
      <c r="F4" s="88" t="s">
        <v>139</v>
      </c>
      <c r="G4" s="68" t="s">
        <v>113</v>
      </c>
      <c r="H4" s="68" t="s">
        <v>115</v>
      </c>
    </row>
    <row r="5" spans="1:8" ht="19.5" customHeight="1">
      <c r="A5" s="67">
        <v>1</v>
      </c>
      <c r="B5" s="67">
        <v>2</v>
      </c>
      <c r="C5" s="68">
        <v>3</v>
      </c>
      <c r="D5" s="68">
        <v>4</v>
      </c>
      <c r="E5" s="68">
        <v>5</v>
      </c>
      <c r="F5" s="68">
        <v>6</v>
      </c>
      <c r="G5" s="67">
        <v>7</v>
      </c>
      <c r="H5" s="67">
        <v>8</v>
      </c>
    </row>
    <row r="6" spans="1:8" ht="30.75" customHeight="1">
      <c r="A6" s="285" t="s">
        <v>74</v>
      </c>
      <c r="B6" s="286"/>
      <c r="C6" s="68"/>
      <c r="D6" s="208">
        <f>SUM(D7,D12,D26,D28)</f>
        <v>47658.6</v>
      </c>
      <c r="E6" s="208">
        <f>E7+E12+E26+E28</f>
        <v>60140.800000000003</v>
      </c>
      <c r="F6" s="208">
        <f>F7+F12+F26+F28</f>
        <v>71957.200000000012</v>
      </c>
      <c r="G6" s="91">
        <f>F6-E6</f>
        <v>11816.400000000009</v>
      </c>
      <c r="H6" s="209">
        <f>F6/E6*100</f>
        <v>119.64789294455677</v>
      </c>
    </row>
    <row r="7" spans="1:8" ht="48.75" customHeight="1">
      <c r="A7" s="287" t="s">
        <v>73</v>
      </c>
      <c r="B7" s="288"/>
      <c r="C7" s="89">
        <v>1000</v>
      </c>
      <c r="D7" s="29">
        <f>SUM(D8:D11)</f>
        <v>23213.399999999998</v>
      </c>
      <c r="E7" s="29">
        <f t="shared" ref="E7:F7" si="0">SUM(E8:E11)</f>
        <v>50216.800000000003</v>
      </c>
      <c r="F7" s="29">
        <f t="shared" si="0"/>
        <v>56359</v>
      </c>
      <c r="G7" s="91">
        <f>F7-E7</f>
        <v>6142.1999999999971</v>
      </c>
      <c r="H7" s="91">
        <f>(F7/E7)*100</f>
        <v>112.23136480221758</v>
      </c>
    </row>
    <row r="8" spans="1:8" ht="44.25" customHeight="1">
      <c r="A8" s="68">
        <v>1</v>
      </c>
      <c r="B8" s="62" t="s">
        <v>527</v>
      </c>
      <c r="C8" s="89"/>
      <c r="D8" s="30">
        <v>22793.1</v>
      </c>
      <c r="E8" s="30">
        <v>48666.9</v>
      </c>
      <c r="F8" s="30">
        <v>54966.5</v>
      </c>
      <c r="G8" s="93">
        <f>F8-E8</f>
        <v>6299.5999999999985</v>
      </c>
      <c r="H8" s="93">
        <f>(F8/E8)*100</f>
        <v>112.94432149982842</v>
      </c>
    </row>
    <row r="9" spans="1:8" ht="33.75" customHeight="1">
      <c r="A9" s="67">
        <v>2</v>
      </c>
      <c r="B9" s="62" t="s">
        <v>207</v>
      </c>
      <c r="C9" s="68"/>
      <c r="D9" s="30">
        <v>420.3</v>
      </c>
      <c r="E9" s="30">
        <v>825.5</v>
      </c>
      <c r="F9" s="30">
        <v>741.4</v>
      </c>
      <c r="G9" s="93">
        <f>F9-E9</f>
        <v>-84.100000000000023</v>
      </c>
      <c r="H9" s="93">
        <f>(F9/E9)*100</f>
        <v>89.812235009085398</v>
      </c>
    </row>
    <row r="10" spans="1:8" ht="33.75" customHeight="1">
      <c r="A10" s="67">
        <v>3</v>
      </c>
      <c r="B10" s="62" t="s">
        <v>212</v>
      </c>
      <c r="C10" s="68"/>
      <c r="D10" s="30"/>
      <c r="E10" s="30">
        <v>332</v>
      </c>
      <c r="F10" s="30">
        <v>303.2</v>
      </c>
      <c r="G10" s="93">
        <f t="shared" ref="G10:G11" si="1">F10-E10</f>
        <v>-28.800000000000011</v>
      </c>
      <c r="H10" s="93">
        <f t="shared" ref="H10:H11" si="2">(F10/E10)*100</f>
        <v>91.325301204819283</v>
      </c>
    </row>
    <row r="11" spans="1:8" ht="78.75" customHeight="1">
      <c r="A11" s="122">
        <v>4</v>
      </c>
      <c r="B11" s="62" t="s">
        <v>441</v>
      </c>
      <c r="C11" s="68"/>
      <c r="D11" s="30"/>
      <c r="E11" s="30">
        <v>392.4</v>
      </c>
      <c r="F11" s="30">
        <v>347.9</v>
      </c>
      <c r="G11" s="93">
        <f t="shared" si="1"/>
        <v>-44.5</v>
      </c>
      <c r="H11" s="93">
        <f t="shared" si="2"/>
        <v>88.65953109072376</v>
      </c>
    </row>
    <row r="12" spans="1:8" ht="30.75" customHeight="1">
      <c r="A12" s="291" t="s">
        <v>36</v>
      </c>
      <c r="B12" s="292"/>
      <c r="C12" s="89">
        <v>1040</v>
      </c>
      <c r="D12" s="29">
        <f>SUM(D13:D25)</f>
        <v>23421.200000000001</v>
      </c>
      <c r="E12" s="29">
        <f t="shared" ref="E12:F12" si="3">SUM(E13:E25)</f>
        <v>9924</v>
      </c>
      <c r="F12" s="29">
        <f t="shared" si="3"/>
        <v>14045.800000000001</v>
      </c>
      <c r="G12" s="91">
        <f>F12-E12</f>
        <v>4121.8000000000011</v>
      </c>
      <c r="H12" s="91">
        <f>(F12/E12)*100</f>
        <v>141.5336557839581</v>
      </c>
    </row>
    <row r="13" spans="1:8" ht="36.75" customHeight="1">
      <c r="A13" s="67">
        <v>1</v>
      </c>
      <c r="B13" s="84" t="s">
        <v>209</v>
      </c>
      <c r="C13" s="89"/>
      <c r="D13" s="30">
        <v>12875.4</v>
      </c>
      <c r="E13" s="30"/>
      <c r="F13" s="30"/>
      <c r="G13" s="91">
        <f t="shared" ref="G13:G24" si="4">F13-E13</f>
        <v>0</v>
      </c>
      <c r="H13" s="91"/>
    </row>
    <row r="14" spans="1:8" ht="54" customHeight="1">
      <c r="A14" s="67"/>
      <c r="B14" s="84" t="s">
        <v>528</v>
      </c>
      <c r="C14" s="89"/>
      <c r="D14" s="30"/>
      <c r="E14" s="30"/>
      <c r="F14" s="30">
        <v>172.6</v>
      </c>
      <c r="G14" s="91"/>
      <c r="H14" s="91"/>
    </row>
    <row r="15" spans="1:8" ht="63" customHeight="1">
      <c r="A15" s="67">
        <v>2</v>
      </c>
      <c r="B15" s="84" t="s">
        <v>442</v>
      </c>
      <c r="C15" s="89"/>
      <c r="D15" s="30"/>
      <c r="E15" s="30">
        <v>53.7</v>
      </c>
      <c r="F15" s="30">
        <v>41.7</v>
      </c>
      <c r="G15" s="93">
        <f t="shared" si="4"/>
        <v>-12</v>
      </c>
      <c r="H15" s="93">
        <f t="shared" ref="H15:H22" si="5">(F15/E15)*100</f>
        <v>77.653631284916202</v>
      </c>
    </row>
    <row r="16" spans="1:8" ht="39.75" customHeight="1">
      <c r="A16" s="67">
        <v>3</v>
      </c>
      <c r="B16" s="62" t="s">
        <v>466</v>
      </c>
      <c r="C16" s="89"/>
      <c r="D16" s="30">
        <v>7669.1</v>
      </c>
      <c r="E16" s="30">
        <v>9820.2999999999993</v>
      </c>
      <c r="F16" s="30">
        <v>10697.4</v>
      </c>
      <c r="G16" s="93">
        <f t="shared" si="4"/>
        <v>877.10000000000036</v>
      </c>
      <c r="H16" s="93">
        <f t="shared" si="5"/>
        <v>108.9314990377076</v>
      </c>
    </row>
    <row r="17" spans="1:8" ht="57.75" customHeight="1">
      <c r="A17" s="67"/>
      <c r="B17" s="62" t="s">
        <v>529</v>
      </c>
      <c r="C17" s="89"/>
      <c r="D17" s="30"/>
      <c r="E17" s="30"/>
      <c r="F17" s="30">
        <v>1123.2</v>
      </c>
      <c r="G17" s="93"/>
      <c r="H17" s="93"/>
    </row>
    <row r="18" spans="1:8" ht="60.75" customHeight="1">
      <c r="A18" s="67">
        <v>4</v>
      </c>
      <c r="B18" s="62" t="s">
        <v>210</v>
      </c>
      <c r="C18" s="89"/>
      <c r="D18" s="30">
        <v>475.3</v>
      </c>
      <c r="E18" s="30"/>
      <c r="F18" s="30"/>
      <c r="G18" s="91">
        <f t="shared" si="4"/>
        <v>0</v>
      </c>
      <c r="H18" s="91"/>
    </row>
    <row r="19" spans="1:8" ht="57" customHeight="1">
      <c r="A19" s="67">
        <v>5</v>
      </c>
      <c r="B19" s="62" t="s">
        <v>211</v>
      </c>
      <c r="C19" s="89"/>
      <c r="D19" s="30">
        <v>1.3</v>
      </c>
      <c r="E19" s="30">
        <v>1.8</v>
      </c>
      <c r="F19" s="30">
        <v>14.7</v>
      </c>
      <c r="G19" s="93">
        <f t="shared" si="4"/>
        <v>12.899999999999999</v>
      </c>
      <c r="H19" s="93">
        <f t="shared" si="5"/>
        <v>816.66666666666663</v>
      </c>
    </row>
    <row r="20" spans="1:8" ht="38.25" customHeight="1">
      <c r="A20" s="67">
        <v>6</v>
      </c>
      <c r="B20" s="62" t="s">
        <v>212</v>
      </c>
      <c r="C20" s="89"/>
      <c r="D20" s="30">
        <v>375.2</v>
      </c>
      <c r="E20" s="30"/>
      <c r="F20" s="30"/>
      <c r="G20" s="93">
        <f t="shared" si="4"/>
        <v>0</v>
      </c>
      <c r="H20" s="93"/>
    </row>
    <row r="21" spans="1:8" ht="30.75" customHeight="1">
      <c r="A21" s="67">
        <v>7</v>
      </c>
      <c r="B21" s="62" t="s">
        <v>213</v>
      </c>
      <c r="C21" s="89"/>
      <c r="D21" s="30">
        <v>23.5</v>
      </c>
      <c r="E21" s="30">
        <v>22.6</v>
      </c>
      <c r="F21" s="30">
        <v>21.6</v>
      </c>
      <c r="G21" s="93">
        <f t="shared" si="4"/>
        <v>-1</v>
      </c>
      <c r="H21" s="93">
        <f t="shared" si="5"/>
        <v>95.575221238938056</v>
      </c>
    </row>
    <row r="22" spans="1:8" ht="36.75" customHeight="1">
      <c r="A22" s="225">
        <v>8</v>
      </c>
      <c r="B22" s="226" t="s">
        <v>214</v>
      </c>
      <c r="C22" s="227"/>
      <c r="D22" s="214">
        <v>4.4000000000000004</v>
      </c>
      <c r="E22" s="214">
        <v>25.6</v>
      </c>
      <c r="F22" s="214"/>
      <c r="G22" s="93">
        <f t="shared" si="4"/>
        <v>-25.6</v>
      </c>
      <c r="H22" s="93">
        <f t="shared" si="5"/>
        <v>0</v>
      </c>
    </row>
    <row r="23" spans="1:8" ht="33.75" customHeight="1">
      <c r="A23" s="225">
        <v>9</v>
      </c>
      <c r="B23" s="228" t="s">
        <v>530</v>
      </c>
      <c r="C23" s="227"/>
      <c r="D23" s="214">
        <v>1968.3</v>
      </c>
      <c r="E23" s="214"/>
      <c r="F23" s="214">
        <v>143.6</v>
      </c>
      <c r="G23" s="93">
        <f t="shared" si="4"/>
        <v>143.6</v>
      </c>
      <c r="H23" s="93"/>
    </row>
    <row r="24" spans="1:8" ht="33.75" customHeight="1">
      <c r="A24" s="225">
        <v>10</v>
      </c>
      <c r="B24" s="229" t="s">
        <v>531</v>
      </c>
      <c r="C24" s="227"/>
      <c r="D24" s="214"/>
      <c r="E24" s="214"/>
      <c r="F24" s="214">
        <v>1831</v>
      </c>
      <c r="G24" s="93">
        <f t="shared" si="4"/>
        <v>1831</v>
      </c>
      <c r="H24" s="93"/>
    </row>
    <row r="25" spans="1:8" ht="24.75" customHeight="1">
      <c r="A25" s="225">
        <v>11</v>
      </c>
      <c r="B25" s="226" t="s">
        <v>215</v>
      </c>
      <c r="C25" s="230"/>
      <c r="D25" s="214">
        <v>28.7</v>
      </c>
      <c r="E25" s="214"/>
      <c r="F25" s="214"/>
      <c r="G25" s="93">
        <f>F25-E25</f>
        <v>0</v>
      </c>
      <c r="H25" s="93"/>
    </row>
    <row r="26" spans="1:8" ht="30.75" customHeight="1">
      <c r="A26" s="293" t="s">
        <v>76</v>
      </c>
      <c r="B26" s="294"/>
      <c r="C26" s="227">
        <v>1130</v>
      </c>
      <c r="D26" s="231">
        <f>SUM(D27)</f>
        <v>25.2</v>
      </c>
      <c r="E26" s="231">
        <f t="shared" ref="E26:F26" si="6">SUM(E27)</f>
        <v>0</v>
      </c>
      <c r="F26" s="231">
        <f t="shared" si="6"/>
        <v>21.1</v>
      </c>
      <c r="G26" s="91">
        <f>F26-E26</f>
        <v>21.1</v>
      </c>
      <c r="H26" s="91"/>
    </row>
    <row r="27" spans="1:8" ht="38.25" customHeight="1">
      <c r="A27" s="225">
        <v>1</v>
      </c>
      <c r="B27" s="226" t="s">
        <v>535</v>
      </c>
      <c r="C27" s="227"/>
      <c r="D27" s="214">
        <v>25.2</v>
      </c>
      <c r="E27" s="214"/>
      <c r="F27" s="214">
        <v>21.1</v>
      </c>
      <c r="G27" s="93">
        <f>F27-E27</f>
        <v>21.1</v>
      </c>
      <c r="H27" s="93"/>
    </row>
    <row r="28" spans="1:8" ht="30.75" customHeight="1">
      <c r="A28" s="291" t="s">
        <v>28</v>
      </c>
      <c r="B28" s="292"/>
      <c r="C28" s="89">
        <v>1150</v>
      </c>
      <c r="D28" s="29">
        <f>SUM(D29:D30)</f>
        <v>998.8</v>
      </c>
      <c r="E28" s="29">
        <f t="shared" ref="E28:F28" si="7">SUM(E29:E30)</f>
        <v>0</v>
      </c>
      <c r="F28" s="29">
        <f t="shared" si="7"/>
        <v>1531.3</v>
      </c>
      <c r="G28" s="91">
        <f>F28-E28</f>
        <v>1531.3</v>
      </c>
      <c r="H28" s="91"/>
    </row>
    <row r="29" spans="1:8" ht="34.5" customHeight="1">
      <c r="A29" s="122">
        <v>1</v>
      </c>
      <c r="B29" s="85" t="s">
        <v>216</v>
      </c>
      <c r="C29" s="89"/>
      <c r="D29" s="30">
        <v>998.8</v>
      </c>
      <c r="E29" s="30"/>
      <c r="F29" s="30">
        <v>1526</v>
      </c>
      <c r="G29" s="93">
        <f t="shared" ref="G29:G30" si="8">F29-E29</f>
        <v>1526</v>
      </c>
      <c r="H29" s="93"/>
    </row>
    <row r="30" spans="1:8" ht="34.5" customHeight="1">
      <c r="A30" s="122">
        <v>2</v>
      </c>
      <c r="B30" s="85" t="s">
        <v>447</v>
      </c>
      <c r="C30" s="89"/>
      <c r="D30" s="30"/>
      <c r="E30" s="30"/>
      <c r="F30" s="30">
        <v>5.3</v>
      </c>
      <c r="G30" s="93">
        <f t="shared" si="8"/>
        <v>5.3</v>
      </c>
      <c r="H30" s="93"/>
    </row>
    <row r="31" spans="1:8" ht="35.25" customHeight="1">
      <c r="A31" s="285" t="s">
        <v>77</v>
      </c>
      <c r="B31" s="286"/>
      <c r="C31" s="89"/>
      <c r="D31" s="29"/>
      <c r="E31" s="29"/>
      <c r="F31" s="29"/>
      <c r="G31" s="91"/>
      <c r="H31" s="91"/>
    </row>
    <row r="32" spans="1:8" ht="48" customHeight="1">
      <c r="A32" s="287" t="s">
        <v>78</v>
      </c>
      <c r="B32" s="288"/>
      <c r="C32" s="68"/>
      <c r="D32" s="29"/>
      <c r="E32" s="29"/>
      <c r="F32" s="29"/>
      <c r="G32" s="91"/>
      <c r="H32" s="91"/>
    </row>
    <row r="33" spans="1:9" ht="34.5" customHeight="1">
      <c r="A33" s="289" t="s">
        <v>79</v>
      </c>
      <c r="B33" s="290"/>
      <c r="C33" s="89">
        <v>1011</v>
      </c>
      <c r="D33" s="29">
        <f>SUM(D34:D52)</f>
        <v>7203.4000000000005</v>
      </c>
      <c r="E33" s="29">
        <f>SUM(E34:E52)</f>
        <v>7553</v>
      </c>
      <c r="F33" s="29">
        <f>SUM(F34:F52)</f>
        <v>12265.400000000001</v>
      </c>
      <c r="G33" s="91">
        <f>F33-E33</f>
        <v>4712.4000000000015</v>
      </c>
      <c r="H33" s="91">
        <f>(F33/E33)*100</f>
        <v>162.3911028730306</v>
      </c>
      <c r="I33" s="211"/>
    </row>
    <row r="34" spans="1:9" ht="59.25" customHeight="1">
      <c r="A34" s="143"/>
      <c r="B34" s="62" t="s">
        <v>413</v>
      </c>
      <c r="C34" s="89"/>
      <c r="D34" s="30">
        <v>179.5</v>
      </c>
      <c r="E34" s="30">
        <v>405.1</v>
      </c>
      <c r="F34" s="30">
        <v>187.6</v>
      </c>
      <c r="G34" s="93">
        <f t="shared" ref="G34:G52" si="9">F34-E34</f>
        <v>-217.50000000000003</v>
      </c>
      <c r="H34" s="93">
        <f t="shared" ref="H34:H51" si="10">(F34/E34)*100</f>
        <v>46.30955319674154</v>
      </c>
    </row>
    <row r="35" spans="1:9" ht="34.5" customHeight="1">
      <c r="A35" s="143"/>
      <c r="B35" s="62" t="s">
        <v>166</v>
      </c>
      <c r="C35" s="89"/>
      <c r="D35" s="30">
        <v>1642.2</v>
      </c>
      <c r="E35" s="30">
        <v>3000</v>
      </c>
      <c r="F35" s="30">
        <v>2390.1999999999998</v>
      </c>
      <c r="G35" s="93">
        <f t="shared" si="9"/>
        <v>-609.80000000000018</v>
      </c>
      <c r="H35" s="93">
        <f t="shared" si="10"/>
        <v>79.673333333333332</v>
      </c>
    </row>
    <row r="36" spans="1:9" ht="24.75" customHeight="1">
      <c r="A36" s="143"/>
      <c r="B36" s="60" t="s">
        <v>168</v>
      </c>
      <c r="C36" s="89"/>
      <c r="D36" s="30">
        <v>818.5</v>
      </c>
      <c r="E36" s="30">
        <v>905.7</v>
      </c>
      <c r="F36" s="30">
        <v>1665.7</v>
      </c>
      <c r="G36" s="93">
        <f t="shared" si="9"/>
        <v>760</v>
      </c>
      <c r="H36" s="93">
        <f t="shared" si="10"/>
        <v>183.91299547311471</v>
      </c>
    </row>
    <row r="37" spans="1:9" ht="37.5">
      <c r="A37" s="143"/>
      <c r="B37" s="60" t="s">
        <v>140</v>
      </c>
      <c r="C37" s="89"/>
      <c r="D37" s="30">
        <v>3329.5</v>
      </c>
      <c r="E37" s="30">
        <v>2178.1999999999998</v>
      </c>
      <c r="F37" s="30">
        <v>5346.1</v>
      </c>
      <c r="G37" s="93">
        <f t="shared" si="9"/>
        <v>3167.9000000000005</v>
      </c>
      <c r="H37" s="93">
        <f t="shared" si="10"/>
        <v>245.43659902671934</v>
      </c>
    </row>
    <row r="38" spans="1:9">
      <c r="A38" s="143"/>
      <c r="B38" s="60" t="s">
        <v>201</v>
      </c>
      <c r="C38" s="89"/>
      <c r="D38" s="30">
        <v>637.79999999999995</v>
      </c>
      <c r="E38" s="30"/>
      <c r="F38" s="29"/>
      <c r="G38" s="93">
        <f t="shared" si="9"/>
        <v>0</v>
      </c>
      <c r="H38" s="93"/>
    </row>
    <row r="39" spans="1:9">
      <c r="A39" s="143"/>
      <c r="B39" s="63" t="s">
        <v>414</v>
      </c>
      <c r="C39" s="89"/>
      <c r="D39" s="30">
        <v>100</v>
      </c>
      <c r="E39" s="30"/>
      <c r="F39" s="30">
        <v>1593</v>
      </c>
      <c r="G39" s="93">
        <f t="shared" si="9"/>
        <v>1593</v>
      </c>
      <c r="H39" s="93"/>
    </row>
    <row r="40" spans="1:9">
      <c r="A40" s="143"/>
      <c r="B40" s="60" t="s">
        <v>170</v>
      </c>
      <c r="C40" s="89"/>
      <c r="D40" s="30">
        <v>95.8</v>
      </c>
      <c r="E40" s="30"/>
      <c r="F40" s="30">
        <v>162.30000000000001</v>
      </c>
      <c r="G40" s="93">
        <f t="shared" si="9"/>
        <v>162.30000000000001</v>
      </c>
      <c r="H40" s="93"/>
    </row>
    <row r="41" spans="1:9" ht="24.75" customHeight="1">
      <c r="A41" s="143"/>
      <c r="B41" s="62" t="s">
        <v>141</v>
      </c>
      <c r="C41" s="89"/>
      <c r="D41" s="30">
        <v>241.2</v>
      </c>
      <c r="E41" s="30">
        <v>257.89999999999998</v>
      </c>
      <c r="F41" s="30">
        <v>374.7</v>
      </c>
      <c r="G41" s="93">
        <f t="shared" si="9"/>
        <v>116.80000000000001</v>
      </c>
      <c r="H41" s="93">
        <f t="shared" si="10"/>
        <v>145.28887165568051</v>
      </c>
    </row>
    <row r="42" spans="1:9">
      <c r="A42" s="143"/>
      <c r="B42" s="62" t="s">
        <v>415</v>
      </c>
      <c r="C42" s="89"/>
      <c r="D42" s="30"/>
      <c r="E42" s="30">
        <v>153.6</v>
      </c>
      <c r="F42" s="30">
        <v>95.1</v>
      </c>
      <c r="G42" s="93">
        <f t="shared" si="9"/>
        <v>-58.5</v>
      </c>
      <c r="H42" s="93">
        <f t="shared" si="10"/>
        <v>61.9140625</v>
      </c>
    </row>
    <row r="43" spans="1:9" ht="37.5">
      <c r="A43" s="143"/>
      <c r="B43" s="62" t="s">
        <v>146</v>
      </c>
      <c r="C43" s="89"/>
      <c r="D43" s="30"/>
      <c r="E43" s="30">
        <v>65.2</v>
      </c>
      <c r="F43" s="30">
        <v>74.7</v>
      </c>
      <c r="G43" s="93">
        <f t="shared" si="9"/>
        <v>9.5</v>
      </c>
      <c r="H43" s="93">
        <f t="shared" si="10"/>
        <v>114.57055214723925</v>
      </c>
    </row>
    <row r="44" spans="1:9" ht="65.25" customHeight="1">
      <c r="A44" s="143"/>
      <c r="B44" s="62" t="s">
        <v>203</v>
      </c>
      <c r="C44" s="89"/>
      <c r="D44" s="30">
        <v>109</v>
      </c>
      <c r="E44" s="30">
        <v>176.2</v>
      </c>
      <c r="F44" s="30">
        <f>219.5-15.8</f>
        <v>203.7</v>
      </c>
      <c r="G44" s="93">
        <f t="shared" si="9"/>
        <v>27.5</v>
      </c>
      <c r="H44" s="93">
        <f t="shared" si="10"/>
        <v>115.60726447219069</v>
      </c>
    </row>
    <row r="45" spans="1:9" ht="72" customHeight="1">
      <c r="A45" s="143"/>
      <c r="B45" s="62" t="s">
        <v>404</v>
      </c>
      <c r="C45" s="89"/>
      <c r="D45" s="30"/>
      <c r="E45" s="30">
        <v>76.5</v>
      </c>
      <c r="F45" s="30">
        <v>17.600000000000001</v>
      </c>
      <c r="G45" s="93">
        <f t="shared" si="9"/>
        <v>-58.9</v>
      </c>
      <c r="H45" s="93">
        <f t="shared" si="10"/>
        <v>23.006535947712418</v>
      </c>
    </row>
    <row r="46" spans="1:9" ht="80.25" customHeight="1">
      <c r="A46" s="143"/>
      <c r="B46" s="62" t="s">
        <v>179</v>
      </c>
      <c r="C46" s="89"/>
      <c r="D46" s="30"/>
      <c r="E46" s="30">
        <v>16</v>
      </c>
      <c r="F46" s="30">
        <v>99.9</v>
      </c>
      <c r="G46" s="93">
        <f t="shared" si="9"/>
        <v>83.9</v>
      </c>
      <c r="H46" s="93">
        <f t="shared" si="10"/>
        <v>624.375</v>
      </c>
    </row>
    <row r="47" spans="1:9" ht="80.25" customHeight="1">
      <c r="A47" s="143"/>
      <c r="B47" s="62" t="s">
        <v>200</v>
      </c>
      <c r="C47" s="89"/>
      <c r="D47" s="30">
        <v>6.2</v>
      </c>
      <c r="E47" s="30"/>
      <c r="F47" s="30">
        <v>11.9</v>
      </c>
      <c r="G47" s="93">
        <f t="shared" si="9"/>
        <v>11.9</v>
      </c>
      <c r="H47" s="93" t="e">
        <f t="shared" si="10"/>
        <v>#DIV/0!</v>
      </c>
    </row>
    <row r="48" spans="1:9">
      <c r="A48" s="143"/>
      <c r="B48" s="81" t="s">
        <v>373</v>
      </c>
      <c r="C48" s="89"/>
      <c r="D48" s="30"/>
      <c r="E48" s="30">
        <v>182.4</v>
      </c>
      <c r="F48" s="29"/>
      <c r="G48" s="93">
        <f t="shared" si="9"/>
        <v>-182.4</v>
      </c>
      <c r="H48" s="93">
        <f t="shared" si="10"/>
        <v>0</v>
      </c>
    </row>
    <row r="49" spans="1:8">
      <c r="A49" s="143"/>
      <c r="B49" s="62" t="s">
        <v>374</v>
      </c>
      <c r="C49" s="89"/>
      <c r="D49" s="30"/>
      <c r="E49" s="30">
        <v>81</v>
      </c>
      <c r="F49" s="29"/>
      <c r="G49" s="93">
        <f t="shared" si="9"/>
        <v>-81</v>
      </c>
      <c r="H49" s="93">
        <f t="shared" si="10"/>
        <v>0</v>
      </c>
    </row>
    <row r="50" spans="1:8">
      <c r="A50" s="143"/>
      <c r="B50" s="62" t="s">
        <v>375</v>
      </c>
      <c r="C50" s="89"/>
      <c r="D50" s="30"/>
      <c r="E50" s="30">
        <v>35.6</v>
      </c>
      <c r="F50" s="29"/>
      <c r="G50" s="93">
        <f t="shared" si="9"/>
        <v>-35.6</v>
      </c>
      <c r="H50" s="93">
        <f t="shared" si="10"/>
        <v>0</v>
      </c>
    </row>
    <row r="51" spans="1:8" ht="34.5" customHeight="1">
      <c r="A51" s="143"/>
      <c r="B51" s="70" t="s">
        <v>387</v>
      </c>
      <c r="C51" s="89"/>
      <c r="D51" s="30">
        <v>41.6</v>
      </c>
      <c r="E51" s="30">
        <v>19.600000000000001</v>
      </c>
      <c r="F51" s="30">
        <v>42.9</v>
      </c>
      <c r="G51" s="93">
        <f t="shared" si="9"/>
        <v>23.299999999999997</v>
      </c>
      <c r="H51" s="93">
        <f t="shared" si="10"/>
        <v>218.87755102040813</v>
      </c>
    </row>
    <row r="52" spans="1:8">
      <c r="A52" s="143"/>
      <c r="B52" s="63" t="s">
        <v>467</v>
      </c>
      <c r="C52" s="89"/>
      <c r="D52" s="30">
        <v>2.1</v>
      </c>
      <c r="E52" s="30"/>
      <c r="F52" s="29"/>
      <c r="G52" s="93">
        <f t="shared" si="9"/>
        <v>0</v>
      </c>
      <c r="H52" s="93"/>
    </row>
    <row r="53" spans="1:8" ht="35.25" customHeight="1">
      <c r="A53" s="287" t="s">
        <v>80</v>
      </c>
      <c r="B53" s="288"/>
      <c r="C53" s="89">
        <v>1015</v>
      </c>
      <c r="D53" s="29">
        <f>SUM(D54:D85)</f>
        <v>3596.4</v>
      </c>
      <c r="E53" s="29">
        <f>SUM(E54:E85)</f>
        <v>4026.4000000000005</v>
      </c>
      <c r="F53" s="29">
        <f>SUM(F54:F85)</f>
        <v>4734.5999999999995</v>
      </c>
      <c r="G53" s="91">
        <f>F53-E53</f>
        <v>708.19999999999891</v>
      </c>
      <c r="H53" s="91">
        <f>(F53/E53)*100</f>
        <v>117.58891317305779</v>
      </c>
    </row>
    <row r="54" spans="1:8">
      <c r="A54" s="143"/>
      <c r="B54" s="70" t="s">
        <v>382</v>
      </c>
      <c r="C54" s="89"/>
      <c r="D54" s="30">
        <f>138.8+1</f>
        <v>139.80000000000001</v>
      </c>
      <c r="E54" s="30">
        <v>53.7</v>
      </c>
      <c r="F54" s="30">
        <v>24.8</v>
      </c>
      <c r="G54" s="93">
        <f t="shared" ref="G54:G71" si="11">F54-E54</f>
        <v>-28.900000000000002</v>
      </c>
      <c r="H54" s="93">
        <f t="shared" ref="H54:H71" si="12">(F54/E54)*100</f>
        <v>46.18249534450652</v>
      </c>
    </row>
    <row r="55" spans="1:8">
      <c r="A55" s="143"/>
      <c r="B55" s="70" t="s">
        <v>217</v>
      </c>
      <c r="C55" s="89"/>
      <c r="D55" s="30"/>
      <c r="E55" s="30">
        <v>108.5</v>
      </c>
      <c r="F55" s="30">
        <v>164.1</v>
      </c>
      <c r="G55" s="93">
        <f t="shared" si="11"/>
        <v>55.599999999999994</v>
      </c>
      <c r="H55" s="93">
        <f t="shared" si="12"/>
        <v>151.2442396313364</v>
      </c>
    </row>
    <row r="56" spans="1:8" ht="26.25" customHeight="1">
      <c r="A56" s="143"/>
      <c r="B56" s="70" t="s">
        <v>416</v>
      </c>
      <c r="C56" s="89"/>
      <c r="D56" s="30"/>
      <c r="E56" s="30">
        <v>39.700000000000003</v>
      </c>
      <c r="F56" s="30">
        <v>31.9</v>
      </c>
      <c r="G56" s="93">
        <f t="shared" si="11"/>
        <v>-7.8000000000000043</v>
      </c>
      <c r="H56" s="93">
        <f t="shared" si="12"/>
        <v>80.352644836272034</v>
      </c>
    </row>
    <row r="57" spans="1:8">
      <c r="A57" s="143"/>
      <c r="B57" s="70" t="s">
        <v>417</v>
      </c>
      <c r="C57" s="89"/>
      <c r="D57" s="30"/>
      <c r="E57" s="30">
        <v>36.799999999999997</v>
      </c>
      <c r="F57" s="30">
        <v>24.4</v>
      </c>
      <c r="G57" s="93">
        <f t="shared" si="11"/>
        <v>-12.399999999999999</v>
      </c>
      <c r="H57" s="93">
        <f t="shared" si="12"/>
        <v>66.304347826086968</v>
      </c>
    </row>
    <row r="58" spans="1:8">
      <c r="A58" s="143"/>
      <c r="B58" s="70" t="s">
        <v>220</v>
      </c>
      <c r="C58" s="89"/>
      <c r="D58" s="30"/>
      <c r="E58" s="30">
        <v>198.9</v>
      </c>
      <c r="F58" s="30">
        <v>198.1</v>
      </c>
      <c r="G58" s="93">
        <f t="shared" si="11"/>
        <v>-0.80000000000001137</v>
      </c>
      <c r="H58" s="93">
        <f t="shared" si="12"/>
        <v>99.597787833081938</v>
      </c>
    </row>
    <row r="59" spans="1:8" ht="35.25" customHeight="1">
      <c r="A59" s="143"/>
      <c r="B59" s="70" t="s">
        <v>418</v>
      </c>
      <c r="C59" s="89"/>
      <c r="D59" s="30">
        <v>380.6</v>
      </c>
      <c r="E59" s="30">
        <v>208.3</v>
      </c>
      <c r="F59" s="30">
        <v>286.8</v>
      </c>
      <c r="G59" s="93">
        <f t="shared" si="11"/>
        <v>78.5</v>
      </c>
      <c r="H59" s="93">
        <f t="shared" si="12"/>
        <v>137.68602976476237</v>
      </c>
    </row>
    <row r="60" spans="1:8">
      <c r="A60" s="143"/>
      <c r="B60" s="70" t="s">
        <v>222</v>
      </c>
      <c r="C60" s="89"/>
      <c r="D60" s="30"/>
      <c r="E60" s="30">
        <v>59.1</v>
      </c>
      <c r="F60" s="30">
        <v>42.5</v>
      </c>
      <c r="G60" s="93">
        <f t="shared" si="11"/>
        <v>-16.600000000000001</v>
      </c>
      <c r="H60" s="93">
        <f t="shared" si="12"/>
        <v>71.912013536379021</v>
      </c>
    </row>
    <row r="61" spans="1:8" ht="35.25" customHeight="1">
      <c r="A61" s="143"/>
      <c r="B61" s="70" t="s">
        <v>427</v>
      </c>
      <c r="C61" s="89"/>
      <c r="D61" s="30"/>
      <c r="E61" s="30">
        <v>1.5</v>
      </c>
      <c r="F61" s="30">
        <v>56.8</v>
      </c>
      <c r="G61" s="93">
        <f t="shared" si="11"/>
        <v>55.3</v>
      </c>
      <c r="H61" s="93">
        <f t="shared" si="12"/>
        <v>3786.6666666666665</v>
      </c>
    </row>
    <row r="62" spans="1:8">
      <c r="A62" s="143"/>
      <c r="B62" s="70" t="s">
        <v>376</v>
      </c>
      <c r="C62" s="89"/>
      <c r="D62" s="30"/>
      <c r="E62" s="30">
        <v>2.5</v>
      </c>
      <c r="F62" s="30">
        <v>2.5</v>
      </c>
      <c r="G62" s="93">
        <f t="shared" si="11"/>
        <v>0</v>
      </c>
      <c r="H62" s="93">
        <f t="shared" si="12"/>
        <v>100</v>
      </c>
    </row>
    <row r="63" spans="1:8">
      <c r="A63" s="143"/>
      <c r="B63" s="70" t="s">
        <v>419</v>
      </c>
      <c r="C63" s="89"/>
      <c r="D63" s="30"/>
      <c r="E63" s="30">
        <v>8.4</v>
      </c>
      <c r="F63" s="30">
        <v>13.8</v>
      </c>
      <c r="G63" s="93">
        <f t="shared" si="11"/>
        <v>5.4</v>
      </c>
      <c r="H63" s="93">
        <f t="shared" si="12"/>
        <v>164.28571428571428</v>
      </c>
    </row>
    <row r="64" spans="1:8">
      <c r="A64" s="143"/>
      <c r="B64" s="70" t="s">
        <v>421</v>
      </c>
      <c r="C64" s="89"/>
      <c r="D64" s="30"/>
      <c r="E64" s="30">
        <v>1.7</v>
      </c>
      <c r="F64" s="30"/>
      <c r="G64" s="93">
        <f t="shared" si="11"/>
        <v>-1.7</v>
      </c>
      <c r="H64" s="93">
        <f t="shared" si="12"/>
        <v>0</v>
      </c>
    </row>
    <row r="65" spans="1:8" ht="37.5">
      <c r="A65" s="143"/>
      <c r="B65" s="70" t="s">
        <v>420</v>
      </c>
      <c r="C65" s="89"/>
      <c r="D65" s="30">
        <v>40.9</v>
      </c>
      <c r="E65" s="30">
        <v>76.599999999999994</v>
      </c>
      <c r="F65" s="30">
        <v>59.1</v>
      </c>
      <c r="G65" s="93">
        <f t="shared" si="11"/>
        <v>-17.499999999999993</v>
      </c>
      <c r="H65" s="93">
        <f t="shared" si="12"/>
        <v>77.154046997389031</v>
      </c>
    </row>
    <row r="66" spans="1:8">
      <c r="A66" s="143"/>
      <c r="B66" s="70" t="s">
        <v>145</v>
      </c>
      <c r="C66" s="89"/>
      <c r="D66" s="30">
        <v>5.0999999999999996</v>
      </c>
      <c r="E66" s="30">
        <v>15.5</v>
      </c>
      <c r="F66" s="30">
        <v>26</v>
      </c>
      <c r="G66" s="93">
        <f t="shared" si="11"/>
        <v>10.5</v>
      </c>
      <c r="H66" s="93">
        <f t="shared" si="12"/>
        <v>167.74193548387098</v>
      </c>
    </row>
    <row r="67" spans="1:8" ht="35.25" customHeight="1">
      <c r="A67" s="143"/>
      <c r="B67" s="70" t="s">
        <v>360</v>
      </c>
      <c r="C67" s="89"/>
      <c r="D67" s="30">
        <v>4.5999999999999996</v>
      </c>
      <c r="E67" s="30">
        <v>2.9</v>
      </c>
      <c r="F67" s="30">
        <v>10.9</v>
      </c>
      <c r="G67" s="93">
        <f t="shared" si="11"/>
        <v>8</v>
      </c>
      <c r="H67" s="93">
        <f t="shared" si="12"/>
        <v>375.86206896551727</v>
      </c>
    </row>
    <row r="68" spans="1:8" ht="38.25" customHeight="1">
      <c r="A68" s="143"/>
      <c r="B68" s="70" t="s">
        <v>422</v>
      </c>
      <c r="C68" s="89"/>
      <c r="D68" s="30"/>
      <c r="E68" s="30"/>
      <c r="F68" s="30">
        <v>10.1</v>
      </c>
      <c r="G68" s="93">
        <f t="shared" si="11"/>
        <v>10.1</v>
      </c>
      <c r="H68" s="93"/>
    </row>
    <row r="69" spans="1:8">
      <c r="A69" s="143"/>
      <c r="B69" s="70" t="s">
        <v>428</v>
      </c>
      <c r="C69" s="89"/>
      <c r="D69" s="30">
        <v>648.29999999999995</v>
      </c>
      <c r="E69" s="30">
        <v>75.599999999999994</v>
      </c>
      <c r="F69" s="30">
        <v>310.10000000000002</v>
      </c>
      <c r="G69" s="93">
        <f t="shared" si="11"/>
        <v>234.50000000000003</v>
      </c>
      <c r="H69" s="93">
        <f t="shared" si="12"/>
        <v>410.18518518518522</v>
      </c>
    </row>
    <row r="70" spans="1:8">
      <c r="A70" s="143"/>
      <c r="B70" s="70" t="s">
        <v>176</v>
      </c>
      <c r="C70" s="89"/>
      <c r="D70" s="30">
        <v>190</v>
      </c>
      <c r="E70" s="30"/>
      <c r="F70" s="30"/>
      <c r="G70" s="93">
        <f t="shared" si="11"/>
        <v>0</v>
      </c>
      <c r="H70" s="93"/>
    </row>
    <row r="71" spans="1:8" ht="54.75" customHeight="1">
      <c r="A71" s="143"/>
      <c r="B71" s="70" t="s">
        <v>423</v>
      </c>
      <c r="C71" s="89"/>
      <c r="D71" s="30">
        <v>5.4</v>
      </c>
      <c r="E71" s="30">
        <v>11.5</v>
      </c>
      <c r="F71" s="30">
        <v>7</v>
      </c>
      <c r="G71" s="93">
        <f t="shared" si="11"/>
        <v>-4.5</v>
      </c>
      <c r="H71" s="93">
        <f t="shared" si="12"/>
        <v>60.869565217391312</v>
      </c>
    </row>
    <row r="72" spans="1:8">
      <c r="A72" s="120"/>
      <c r="B72" s="64" t="s">
        <v>410</v>
      </c>
      <c r="C72" s="68"/>
      <c r="D72" s="30"/>
      <c r="E72" s="30">
        <v>4.0999999999999996</v>
      </c>
      <c r="F72" s="30">
        <v>5.6</v>
      </c>
      <c r="G72" s="93">
        <f>F72-E72</f>
        <v>1.5</v>
      </c>
      <c r="H72" s="93">
        <f>(F72/E72)*100</f>
        <v>136.58536585365854</v>
      </c>
    </row>
    <row r="73" spans="1:8">
      <c r="A73" s="120"/>
      <c r="B73" s="64" t="s">
        <v>424</v>
      </c>
      <c r="C73" s="68"/>
      <c r="D73" s="30"/>
      <c r="E73" s="30"/>
      <c r="F73" s="30">
        <v>2.6</v>
      </c>
      <c r="G73" s="93">
        <f t="shared" ref="G73:G85" si="13">F73-E73</f>
        <v>2.6</v>
      </c>
      <c r="H73" s="93"/>
    </row>
    <row r="74" spans="1:8">
      <c r="A74" s="120"/>
      <c r="B74" s="64" t="s">
        <v>425</v>
      </c>
      <c r="C74" s="68"/>
      <c r="D74" s="30"/>
      <c r="E74" s="30">
        <v>10.6</v>
      </c>
      <c r="F74" s="30"/>
      <c r="G74" s="93">
        <f t="shared" si="13"/>
        <v>-10.6</v>
      </c>
      <c r="H74" s="93">
        <f t="shared" ref="H74:H85" si="14">(F74/E74)*100</f>
        <v>0</v>
      </c>
    </row>
    <row r="75" spans="1:8">
      <c r="A75" s="120"/>
      <c r="B75" s="64" t="s">
        <v>190</v>
      </c>
      <c r="C75" s="68"/>
      <c r="D75" s="30"/>
      <c r="E75" s="30">
        <v>2.6</v>
      </c>
      <c r="F75" s="30">
        <v>3.3</v>
      </c>
      <c r="G75" s="93">
        <f t="shared" si="13"/>
        <v>0.69999999999999973</v>
      </c>
      <c r="H75" s="93">
        <f t="shared" si="14"/>
        <v>126.92307692307692</v>
      </c>
    </row>
    <row r="76" spans="1:8">
      <c r="A76" s="120"/>
      <c r="B76" s="64" t="s">
        <v>426</v>
      </c>
      <c r="C76" s="68"/>
      <c r="D76" s="30"/>
      <c r="E76" s="30">
        <v>0.3</v>
      </c>
      <c r="F76" s="30">
        <v>0.3</v>
      </c>
      <c r="G76" s="93">
        <f t="shared" si="13"/>
        <v>0</v>
      </c>
      <c r="H76" s="93">
        <f t="shared" si="14"/>
        <v>100</v>
      </c>
    </row>
    <row r="77" spans="1:8">
      <c r="A77" s="120"/>
      <c r="B77" s="70" t="s">
        <v>175</v>
      </c>
      <c r="C77" s="68"/>
      <c r="D77" s="30">
        <v>942.8</v>
      </c>
      <c r="E77" s="30">
        <v>1654.6</v>
      </c>
      <c r="F77" s="30">
        <v>1773.1</v>
      </c>
      <c r="G77" s="93">
        <f t="shared" si="13"/>
        <v>118.5</v>
      </c>
      <c r="H77" s="93">
        <f t="shared" si="14"/>
        <v>107.16185180708328</v>
      </c>
    </row>
    <row r="78" spans="1:8" ht="20.25" customHeight="1">
      <c r="A78" s="120"/>
      <c r="B78" s="70" t="s">
        <v>380</v>
      </c>
      <c r="C78" s="68"/>
      <c r="D78" s="30">
        <v>214.1</v>
      </c>
      <c r="E78" s="30">
        <v>324.3</v>
      </c>
      <c r="F78" s="30">
        <v>339.6</v>
      </c>
      <c r="G78" s="93">
        <f t="shared" si="13"/>
        <v>15.300000000000011</v>
      </c>
      <c r="H78" s="93">
        <f t="shared" si="14"/>
        <v>104.71785383903793</v>
      </c>
    </row>
    <row r="79" spans="1:8">
      <c r="A79" s="120"/>
      <c r="B79" s="70" t="s">
        <v>174</v>
      </c>
      <c r="C79" s="68"/>
      <c r="D79" s="30">
        <v>634.4</v>
      </c>
      <c r="E79" s="30">
        <v>1048.4000000000001</v>
      </c>
      <c r="F79" s="30">
        <v>1222.7</v>
      </c>
      <c r="G79" s="93">
        <f t="shared" si="13"/>
        <v>174.29999999999995</v>
      </c>
      <c r="H79" s="93">
        <f t="shared" si="14"/>
        <v>116.62533384204501</v>
      </c>
    </row>
    <row r="80" spans="1:8">
      <c r="A80" s="120"/>
      <c r="B80" s="64" t="s">
        <v>192</v>
      </c>
      <c r="C80" s="68"/>
      <c r="D80" s="30">
        <v>81.900000000000006</v>
      </c>
      <c r="E80" s="30">
        <v>76.3</v>
      </c>
      <c r="F80" s="30">
        <v>88.7</v>
      </c>
      <c r="G80" s="93">
        <f t="shared" si="13"/>
        <v>12.400000000000006</v>
      </c>
      <c r="H80" s="93">
        <f t="shared" si="14"/>
        <v>116.2516382699869</v>
      </c>
    </row>
    <row r="81" spans="1:8">
      <c r="A81" s="120"/>
      <c r="B81" s="64" t="s">
        <v>434</v>
      </c>
      <c r="C81" s="68"/>
      <c r="D81" s="30">
        <v>2.7</v>
      </c>
      <c r="E81" s="30"/>
      <c r="F81" s="30">
        <v>6.8</v>
      </c>
      <c r="G81" s="93">
        <f t="shared" si="13"/>
        <v>6.8</v>
      </c>
      <c r="H81" s="93"/>
    </row>
    <row r="82" spans="1:8">
      <c r="A82" s="120"/>
      <c r="B82" s="64" t="s">
        <v>172</v>
      </c>
      <c r="C82" s="68"/>
      <c r="D82" s="30">
        <v>305.8</v>
      </c>
      <c r="E82" s="30"/>
      <c r="F82" s="30"/>
      <c r="G82" s="93">
        <f t="shared" si="13"/>
        <v>0</v>
      </c>
      <c r="H82" s="93"/>
    </row>
    <row r="83" spans="1:8">
      <c r="A83" s="120"/>
      <c r="B83" s="62" t="s">
        <v>407</v>
      </c>
      <c r="C83" s="68"/>
      <c r="D83" s="30"/>
      <c r="E83" s="30"/>
      <c r="F83" s="30">
        <v>2.2999999999999998</v>
      </c>
      <c r="G83" s="93">
        <f t="shared" si="13"/>
        <v>2.2999999999999998</v>
      </c>
      <c r="H83" s="93"/>
    </row>
    <row r="84" spans="1:8">
      <c r="A84" s="120"/>
      <c r="B84" s="64" t="s">
        <v>390</v>
      </c>
      <c r="C84" s="68"/>
      <c r="D84" s="30"/>
      <c r="E84" s="30"/>
      <c r="F84" s="30">
        <v>16.7</v>
      </c>
      <c r="G84" s="93">
        <f t="shared" si="13"/>
        <v>16.7</v>
      </c>
      <c r="H84" s="93"/>
    </row>
    <row r="85" spans="1:8">
      <c r="A85" s="120"/>
      <c r="B85" s="64" t="s">
        <v>381</v>
      </c>
      <c r="C85" s="68"/>
      <c r="D85" s="30"/>
      <c r="E85" s="30">
        <v>4</v>
      </c>
      <c r="F85" s="30">
        <v>4</v>
      </c>
      <c r="G85" s="93">
        <f t="shared" si="13"/>
        <v>0</v>
      </c>
      <c r="H85" s="93">
        <f t="shared" si="14"/>
        <v>100</v>
      </c>
    </row>
    <row r="86" spans="1:8" s="101" customFormat="1" ht="39" customHeight="1">
      <c r="A86" s="287" t="s">
        <v>81</v>
      </c>
      <c r="B86" s="288"/>
      <c r="C86" s="105"/>
      <c r="D86" s="29"/>
      <c r="E86" s="29"/>
      <c r="F86" s="29"/>
      <c r="G86" s="91"/>
      <c r="H86" s="91"/>
    </row>
    <row r="87" spans="1:8" s="101" customFormat="1" ht="32.25" customHeight="1">
      <c r="A87" s="289" t="s">
        <v>79</v>
      </c>
      <c r="B87" s="290"/>
      <c r="C87" s="89">
        <v>1021</v>
      </c>
      <c r="D87" s="29">
        <f>SUM(D88:D93)</f>
        <v>143.09999999999997</v>
      </c>
      <c r="E87" s="29">
        <f>SUM(E88:E93)</f>
        <v>35.5</v>
      </c>
      <c r="F87" s="29">
        <f>SUM(F88:F93)</f>
        <v>64.8</v>
      </c>
      <c r="G87" s="91">
        <f>F87-E87</f>
        <v>29.299999999999997</v>
      </c>
      <c r="H87" s="91">
        <f>(F87/E87)*100</f>
        <v>182.53521126760563</v>
      </c>
    </row>
    <row r="88" spans="1:8" s="101" customFormat="1" ht="32.25" customHeight="1">
      <c r="A88" s="143"/>
      <c r="B88" s="70" t="s">
        <v>146</v>
      </c>
      <c r="C88" s="89"/>
      <c r="D88" s="30">
        <v>54.9</v>
      </c>
      <c r="E88" s="29"/>
      <c r="F88" s="29"/>
      <c r="G88" s="93">
        <f t="shared" ref="G88:G93" si="15">F88-E88</f>
        <v>0</v>
      </c>
      <c r="H88" s="93"/>
    </row>
    <row r="89" spans="1:8" s="101" customFormat="1" ht="38.25" customHeight="1">
      <c r="A89" s="143"/>
      <c r="B89" s="70" t="s">
        <v>387</v>
      </c>
      <c r="C89" s="89"/>
      <c r="D89" s="30">
        <v>10.4</v>
      </c>
      <c r="E89" s="30">
        <v>1.6</v>
      </c>
      <c r="F89" s="30">
        <v>14.5</v>
      </c>
      <c r="G89" s="93">
        <f t="shared" si="15"/>
        <v>12.9</v>
      </c>
      <c r="H89" s="93">
        <f t="shared" ref="H89:H91" si="16">(F89/E89)*100</f>
        <v>906.25</v>
      </c>
    </row>
    <row r="90" spans="1:8" s="101" customFormat="1" ht="64.5" customHeight="1">
      <c r="A90" s="143"/>
      <c r="B90" s="62" t="s">
        <v>152</v>
      </c>
      <c r="C90" s="89"/>
      <c r="D90" s="30">
        <v>71.900000000000006</v>
      </c>
      <c r="E90" s="30">
        <v>24</v>
      </c>
      <c r="F90" s="30">
        <f>26.5+15.8</f>
        <v>42.3</v>
      </c>
      <c r="G90" s="93">
        <f t="shared" si="15"/>
        <v>18.299999999999997</v>
      </c>
      <c r="H90" s="93">
        <f t="shared" si="16"/>
        <v>176.25</v>
      </c>
    </row>
    <row r="91" spans="1:8" s="101" customFormat="1" ht="81" customHeight="1">
      <c r="A91" s="143"/>
      <c r="B91" s="62" t="s">
        <v>404</v>
      </c>
      <c r="C91" s="89"/>
      <c r="D91" s="30"/>
      <c r="E91" s="30">
        <v>9.9</v>
      </c>
      <c r="F91" s="30">
        <v>8</v>
      </c>
      <c r="G91" s="93">
        <f t="shared" si="15"/>
        <v>-1.9000000000000004</v>
      </c>
      <c r="H91" s="93">
        <f t="shared" si="16"/>
        <v>80.808080808080803</v>
      </c>
    </row>
    <row r="92" spans="1:8" s="101" customFormat="1" ht="25.5" customHeight="1">
      <c r="A92" s="143"/>
      <c r="B92" s="62" t="s">
        <v>435</v>
      </c>
      <c r="C92" s="89"/>
      <c r="D92" s="30">
        <v>5.7</v>
      </c>
      <c r="E92" s="30"/>
      <c r="F92" s="29"/>
      <c r="G92" s="93">
        <f t="shared" si="15"/>
        <v>0</v>
      </c>
      <c r="H92" s="93"/>
    </row>
    <row r="93" spans="1:8" s="101" customFormat="1">
      <c r="A93" s="143"/>
      <c r="B93" s="62" t="s">
        <v>467</v>
      </c>
      <c r="C93" s="89"/>
      <c r="D93" s="30">
        <v>0.2</v>
      </c>
      <c r="E93" s="30"/>
      <c r="F93" s="29"/>
      <c r="G93" s="93">
        <f t="shared" si="15"/>
        <v>0</v>
      </c>
      <c r="H93" s="93"/>
    </row>
    <row r="94" spans="1:8" s="101" customFormat="1" ht="31.5" customHeight="1">
      <c r="A94" s="289" t="s">
        <v>82</v>
      </c>
      <c r="B94" s="290"/>
      <c r="C94" s="105">
        <v>1025</v>
      </c>
      <c r="D94" s="29">
        <f>SUM(D96:D119)</f>
        <v>360.40999999999997</v>
      </c>
      <c r="E94" s="29">
        <f>SUM(E96:E119)</f>
        <v>160.70000000000002</v>
      </c>
      <c r="F94" s="29">
        <f>SUM(F95:F119)</f>
        <v>210.4</v>
      </c>
      <c r="G94" s="91">
        <f>F94-E94</f>
        <v>49.699999999999989</v>
      </c>
      <c r="H94" s="91">
        <f>(F94/E94)*100</f>
        <v>130.92719352831361</v>
      </c>
    </row>
    <row r="95" spans="1:8" s="101" customFormat="1">
      <c r="A95" s="143"/>
      <c r="B95" s="70" t="s">
        <v>382</v>
      </c>
      <c r="C95" s="105"/>
      <c r="D95" s="29"/>
      <c r="E95" s="29"/>
      <c r="F95" s="30">
        <v>2.9</v>
      </c>
      <c r="G95" s="93">
        <f t="shared" ref="G95:G119" si="17">F95-E95</f>
        <v>2.9</v>
      </c>
      <c r="H95" s="93"/>
    </row>
    <row r="96" spans="1:8" s="101" customFormat="1">
      <c r="A96" s="143"/>
      <c r="B96" s="70" t="s">
        <v>145</v>
      </c>
      <c r="C96" s="105"/>
      <c r="D96" s="30">
        <v>12.1</v>
      </c>
      <c r="E96" s="30">
        <v>4.9000000000000004</v>
      </c>
      <c r="F96" s="30">
        <v>8.5</v>
      </c>
      <c r="G96" s="93">
        <f t="shared" si="17"/>
        <v>3.5999999999999996</v>
      </c>
      <c r="H96" s="93">
        <f t="shared" ref="H96:H119" si="18">(F96/E96)*100</f>
        <v>173.46938775510205</v>
      </c>
    </row>
    <row r="97" spans="1:8" s="101" customFormat="1" ht="37.5" customHeight="1">
      <c r="A97" s="143"/>
      <c r="B97" s="62" t="s">
        <v>393</v>
      </c>
      <c r="C97" s="105"/>
      <c r="D97" s="30">
        <v>12.4</v>
      </c>
      <c r="E97" s="30">
        <v>9.4</v>
      </c>
      <c r="F97" s="30">
        <v>28.2</v>
      </c>
      <c r="G97" s="93">
        <f t="shared" si="17"/>
        <v>18.799999999999997</v>
      </c>
      <c r="H97" s="93">
        <f t="shared" si="18"/>
        <v>300</v>
      </c>
    </row>
    <row r="98" spans="1:8" s="101" customFormat="1">
      <c r="A98" s="143"/>
      <c r="B98" s="62" t="s">
        <v>222</v>
      </c>
      <c r="C98" s="105"/>
      <c r="D98" s="30"/>
      <c r="E98" s="30"/>
      <c r="F98" s="30">
        <v>6.5</v>
      </c>
      <c r="G98" s="93">
        <f t="shared" si="17"/>
        <v>6.5</v>
      </c>
      <c r="H98" s="93"/>
    </row>
    <row r="99" spans="1:8" s="101" customFormat="1" ht="37.5" customHeight="1">
      <c r="A99" s="143"/>
      <c r="B99" s="70" t="s">
        <v>427</v>
      </c>
      <c r="C99" s="105"/>
      <c r="D99" s="30"/>
      <c r="E99" s="30"/>
      <c r="F99" s="30">
        <v>3.1</v>
      </c>
      <c r="G99" s="93">
        <f t="shared" si="17"/>
        <v>3.1</v>
      </c>
      <c r="H99" s="93"/>
    </row>
    <row r="100" spans="1:8" s="101" customFormat="1">
      <c r="A100" s="143"/>
      <c r="B100" s="70" t="s">
        <v>426</v>
      </c>
      <c r="C100" s="105"/>
      <c r="D100" s="30"/>
      <c r="E100" s="30">
        <v>2</v>
      </c>
      <c r="F100" s="30">
        <v>3.4</v>
      </c>
      <c r="G100" s="93">
        <f t="shared" si="17"/>
        <v>1.4</v>
      </c>
      <c r="H100" s="93">
        <f t="shared" si="18"/>
        <v>170</v>
      </c>
    </row>
    <row r="101" spans="1:8" s="101" customFormat="1" ht="37.5">
      <c r="A101" s="143"/>
      <c r="B101" s="70" t="s">
        <v>448</v>
      </c>
      <c r="C101" s="105"/>
      <c r="D101" s="30"/>
      <c r="E101" s="30"/>
      <c r="F101" s="30">
        <v>4.0999999999999996</v>
      </c>
      <c r="G101" s="93">
        <f t="shared" si="17"/>
        <v>4.0999999999999996</v>
      </c>
      <c r="H101" s="93"/>
    </row>
    <row r="102" spans="1:8" s="101" customFormat="1" ht="45" customHeight="1">
      <c r="A102" s="143"/>
      <c r="B102" s="70" t="s">
        <v>422</v>
      </c>
      <c r="C102" s="105"/>
      <c r="D102" s="30">
        <v>29.7</v>
      </c>
      <c r="E102" s="30">
        <v>35.1</v>
      </c>
      <c r="F102" s="30">
        <v>42.6</v>
      </c>
      <c r="G102" s="93">
        <f t="shared" si="17"/>
        <v>7.5</v>
      </c>
      <c r="H102" s="93">
        <f t="shared" si="18"/>
        <v>121.36752136752136</v>
      </c>
    </row>
    <row r="103" spans="1:8" s="101" customFormat="1">
      <c r="A103" s="143"/>
      <c r="B103" s="70" t="s">
        <v>394</v>
      </c>
      <c r="C103" s="105"/>
      <c r="D103" s="30">
        <v>2.8</v>
      </c>
      <c r="E103" s="30">
        <v>2.5</v>
      </c>
      <c r="F103" s="30">
        <v>2.8</v>
      </c>
      <c r="G103" s="93">
        <f t="shared" si="17"/>
        <v>0.29999999999999982</v>
      </c>
      <c r="H103" s="93">
        <f t="shared" si="18"/>
        <v>111.99999999999999</v>
      </c>
    </row>
    <row r="104" spans="1:8" s="101" customFormat="1">
      <c r="A104" s="143"/>
      <c r="B104" s="70" t="s">
        <v>392</v>
      </c>
      <c r="C104" s="105"/>
      <c r="D104" s="30">
        <v>2.9</v>
      </c>
      <c r="E104" s="30">
        <v>3.7</v>
      </c>
      <c r="F104" s="30">
        <v>4.8</v>
      </c>
      <c r="G104" s="93">
        <f t="shared" si="17"/>
        <v>1.0999999999999996</v>
      </c>
      <c r="H104" s="93">
        <f t="shared" si="18"/>
        <v>129.72972972972971</v>
      </c>
    </row>
    <row r="105" spans="1:8" s="101" customFormat="1">
      <c r="A105" s="143"/>
      <c r="B105" s="70" t="s">
        <v>191</v>
      </c>
      <c r="C105" s="105"/>
      <c r="D105" s="30">
        <v>213.6</v>
      </c>
      <c r="E105" s="30"/>
      <c r="F105" s="30">
        <v>58.9</v>
      </c>
      <c r="G105" s="93">
        <f t="shared" si="17"/>
        <v>58.9</v>
      </c>
      <c r="H105" s="93"/>
    </row>
    <row r="106" spans="1:8" s="101" customFormat="1">
      <c r="A106" s="143"/>
      <c r="B106" s="70" t="s">
        <v>175</v>
      </c>
      <c r="C106" s="105"/>
      <c r="D106" s="30">
        <v>18.2</v>
      </c>
      <c r="E106" s="30">
        <v>30.3</v>
      </c>
      <c r="F106" s="30">
        <v>2.5</v>
      </c>
      <c r="G106" s="93">
        <f t="shared" si="17"/>
        <v>-27.8</v>
      </c>
      <c r="H106" s="93">
        <f t="shared" si="18"/>
        <v>8.2508250825082499</v>
      </c>
    </row>
    <row r="107" spans="1:8" s="101" customFormat="1" ht="22.5" customHeight="1">
      <c r="A107" s="143"/>
      <c r="B107" s="70" t="s">
        <v>380</v>
      </c>
      <c r="C107" s="105"/>
      <c r="D107" s="30">
        <v>4.0999999999999996</v>
      </c>
      <c r="E107" s="30">
        <v>6.2</v>
      </c>
      <c r="F107" s="30">
        <v>1.5</v>
      </c>
      <c r="G107" s="93">
        <f t="shared" si="17"/>
        <v>-4.7</v>
      </c>
      <c r="H107" s="93">
        <f t="shared" si="18"/>
        <v>24.193548387096772</v>
      </c>
    </row>
    <row r="108" spans="1:8" s="101" customFormat="1">
      <c r="A108" s="143"/>
      <c r="B108" s="70" t="s">
        <v>174</v>
      </c>
      <c r="C108" s="105"/>
      <c r="D108" s="30">
        <v>12.3</v>
      </c>
      <c r="E108" s="30">
        <v>16.8</v>
      </c>
      <c r="F108" s="30">
        <v>9.6999999999999993</v>
      </c>
      <c r="G108" s="93">
        <f t="shared" si="17"/>
        <v>-7.1000000000000014</v>
      </c>
      <c r="H108" s="93">
        <f t="shared" si="18"/>
        <v>57.738095238095234</v>
      </c>
    </row>
    <row r="109" spans="1:8" s="101" customFormat="1">
      <c r="A109" s="121"/>
      <c r="B109" s="64" t="s">
        <v>192</v>
      </c>
      <c r="C109" s="106"/>
      <c r="D109" s="30">
        <v>3.9</v>
      </c>
      <c r="E109" s="30">
        <v>1.5</v>
      </c>
      <c r="F109" s="30">
        <v>0.5</v>
      </c>
      <c r="G109" s="93">
        <f t="shared" si="17"/>
        <v>-1</v>
      </c>
      <c r="H109" s="93">
        <f t="shared" si="18"/>
        <v>33.333333333333329</v>
      </c>
    </row>
    <row r="110" spans="1:8" s="101" customFormat="1" ht="58.5" customHeight="1">
      <c r="A110" s="121"/>
      <c r="B110" s="70" t="s">
        <v>423</v>
      </c>
      <c r="C110" s="106"/>
      <c r="D110" s="30">
        <v>2.5</v>
      </c>
      <c r="E110" s="30"/>
      <c r="F110" s="30"/>
      <c r="G110" s="93">
        <f t="shared" si="17"/>
        <v>0</v>
      </c>
      <c r="H110" s="93"/>
    </row>
    <row r="111" spans="1:8" s="101" customFormat="1">
      <c r="A111" s="121"/>
      <c r="B111" s="64" t="s">
        <v>424</v>
      </c>
      <c r="C111" s="106"/>
      <c r="D111" s="30">
        <v>7.21</v>
      </c>
      <c r="E111" s="30">
        <v>6.2</v>
      </c>
      <c r="F111" s="30">
        <v>3.6</v>
      </c>
      <c r="G111" s="93">
        <f t="shared" si="17"/>
        <v>-2.6</v>
      </c>
      <c r="H111" s="93">
        <f t="shared" si="18"/>
        <v>58.064516129032263</v>
      </c>
    </row>
    <row r="112" spans="1:8" s="101" customFormat="1">
      <c r="A112" s="121"/>
      <c r="B112" s="64" t="s">
        <v>190</v>
      </c>
      <c r="C112" s="106"/>
      <c r="D112" s="30">
        <v>0.9</v>
      </c>
      <c r="E112" s="30"/>
      <c r="F112" s="30">
        <v>0.8</v>
      </c>
      <c r="G112" s="93">
        <f t="shared" si="17"/>
        <v>0.8</v>
      </c>
      <c r="H112" s="93"/>
    </row>
    <row r="113" spans="1:8" s="101" customFormat="1">
      <c r="A113" s="121"/>
      <c r="B113" s="64" t="s">
        <v>436</v>
      </c>
      <c r="C113" s="106"/>
      <c r="D113" s="30">
        <v>2.2999999999999998</v>
      </c>
      <c r="E113" s="30"/>
      <c r="F113" s="30"/>
      <c r="G113" s="93">
        <f t="shared" si="17"/>
        <v>0</v>
      </c>
      <c r="H113" s="93"/>
    </row>
    <row r="114" spans="1:8" s="101" customFormat="1" ht="39" customHeight="1">
      <c r="A114" s="121"/>
      <c r="B114" s="70" t="s">
        <v>184</v>
      </c>
      <c r="C114" s="106"/>
      <c r="D114" s="30">
        <v>4.3</v>
      </c>
      <c r="E114" s="30"/>
      <c r="F114" s="30"/>
      <c r="G114" s="93">
        <f t="shared" si="17"/>
        <v>0</v>
      </c>
      <c r="H114" s="93"/>
    </row>
    <row r="115" spans="1:8" s="101" customFormat="1" ht="40.5" customHeight="1">
      <c r="A115" s="121"/>
      <c r="B115" s="70" t="s">
        <v>395</v>
      </c>
      <c r="C115" s="106"/>
      <c r="D115" s="30"/>
      <c r="E115" s="30">
        <v>24</v>
      </c>
      <c r="F115" s="30">
        <v>23.9</v>
      </c>
      <c r="G115" s="93">
        <f t="shared" si="17"/>
        <v>-0.10000000000000142</v>
      </c>
      <c r="H115" s="93">
        <f t="shared" si="18"/>
        <v>99.583333333333329</v>
      </c>
    </row>
    <row r="116" spans="1:8" s="101" customFormat="1">
      <c r="A116" s="121"/>
      <c r="B116" s="70" t="s">
        <v>205</v>
      </c>
      <c r="C116" s="106"/>
      <c r="D116" s="30">
        <v>30</v>
      </c>
      <c r="E116" s="30"/>
      <c r="F116" s="30"/>
      <c r="G116" s="93">
        <f t="shared" si="17"/>
        <v>0</v>
      </c>
      <c r="H116" s="93"/>
    </row>
    <row r="117" spans="1:8" s="101" customFormat="1">
      <c r="A117" s="121"/>
      <c r="B117" s="64" t="s">
        <v>390</v>
      </c>
      <c r="C117" s="106"/>
      <c r="D117" s="30"/>
      <c r="E117" s="30">
        <v>16.7</v>
      </c>
      <c r="F117" s="30"/>
      <c r="G117" s="93">
        <f t="shared" si="17"/>
        <v>-16.7</v>
      </c>
      <c r="H117" s="93">
        <f t="shared" si="18"/>
        <v>0</v>
      </c>
    </row>
    <row r="118" spans="1:8" s="101" customFormat="1">
      <c r="A118" s="121"/>
      <c r="B118" s="64" t="s">
        <v>400</v>
      </c>
      <c r="C118" s="106"/>
      <c r="D118" s="30"/>
      <c r="E118" s="30"/>
      <c r="F118" s="30">
        <v>0.7</v>
      </c>
      <c r="G118" s="93">
        <f t="shared" si="17"/>
        <v>0.7</v>
      </c>
      <c r="H118" s="93"/>
    </row>
    <row r="119" spans="1:8" s="101" customFormat="1">
      <c r="A119" s="107"/>
      <c r="B119" s="64" t="s">
        <v>429</v>
      </c>
      <c r="C119" s="106"/>
      <c r="D119" s="30">
        <v>1.2</v>
      </c>
      <c r="E119" s="30">
        <v>1.4</v>
      </c>
      <c r="F119" s="30">
        <v>1.4</v>
      </c>
      <c r="G119" s="93">
        <f t="shared" si="17"/>
        <v>0</v>
      </c>
      <c r="H119" s="93">
        <f t="shared" si="18"/>
        <v>100</v>
      </c>
    </row>
    <row r="120" spans="1:8" s="101" customFormat="1" ht="37.5" customHeight="1">
      <c r="A120" s="287" t="s">
        <v>123</v>
      </c>
      <c r="B120" s="288"/>
      <c r="C120" s="105"/>
      <c r="D120" s="29"/>
      <c r="E120" s="29"/>
      <c r="F120" s="29"/>
      <c r="G120" s="91"/>
      <c r="H120" s="91"/>
    </row>
    <row r="121" spans="1:8" s="101" customFormat="1" ht="39" customHeight="1">
      <c r="A121" s="287" t="s">
        <v>108</v>
      </c>
      <c r="B121" s="288"/>
      <c r="C121" s="105">
        <v>1031</v>
      </c>
      <c r="D121" s="29">
        <f>SUM(D122:D128)</f>
        <v>252.5</v>
      </c>
      <c r="E121" s="29">
        <f>SUM(E122:E128)</f>
        <v>0</v>
      </c>
      <c r="F121" s="29">
        <f>SUM(F122:F128)</f>
        <v>0</v>
      </c>
      <c r="G121" s="91">
        <f>F121-E121</f>
        <v>0</v>
      </c>
      <c r="H121" s="91"/>
    </row>
    <row r="122" spans="1:8" s="101" customFormat="1" ht="39" customHeight="1">
      <c r="A122" s="142"/>
      <c r="B122" s="70" t="s">
        <v>146</v>
      </c>
      <c r="C122" s="105"/>
      <c r="D122" s="30">
        <v>29.7</v>
      </c>
      <c r="E122" s="29"/>
      <c r="F122" s="29"/>
      <c r="G122" s="91">
        <f t="shared" ref="G122:G128" si="19">F122-E122</f>
        <v>0</v>
      </c>
      <c r="H122" s="91"/>
    </row>
    <row r="123" spans="1:8" s="101" customFormat="1">
      <c r="A123" s="142"/>
      <c r="B123" s="70" t="s">
        <v>415</v>
      </c>
      <c r="C123" s="105"/>
      <c r="D123" s="30">
        <v>190.5</v>
      </c>
      <c r="E123" s="29"/>
      <c r="F123" s="29"/>
      <c r="G123" s="91">
        <f t="shared" si="19"/>
        <v>0</v>
      </c>
      <c r="H123" s="91"/>
    </row>
    <row r="124" spans="1:8" s="101" customFormat="1">
      <c r="A124" s="142"/>
      <c r="B124" s="70" t="s">
        <v>437</v>
      </c>
      <c r="C124" s="105"/>
      <c r="D124" s="30">
        <v>2.4</v>
      </c>
      <c r="E124" s="29"/>
      <c r="F124" s="29"/>
      <c r="G124" s="91">
        <f t="shared" si="19"/>
        <v>0</v>
      </c>
      <c r="H124" s="91"/>
    </row>
    <row r="125" spans="1:8" s="101" customFormat="1" ht="39" customHeight="1">
      <c r="A125" s="142"/>
      <c r="B125" s="70" t="s">
        <v>387</v>
      </c>
      <c r="C125" s="105"/>
      <c r="D125" s="30">
        <v>0.2</v>
      </c>
      <c r="E125" s="29"/>
      <c r="F125" s="29"/>
      <c r="G125" s="91">
        <f t="shared" si="19"/>
        <v>0</v>
      </c>
      <c r="H125" s="91"/>
    </row>
    <row r="126" spans="1:8" s="101" customFormat="1" ht="58.5" customHeight="1">
      <c r="A126" s="142"/>
      <c r="B126" s="62" t="s">
        <v>152</v>
      </c>
      <c r="C126" s="105"/>
      <c r="D126" s="30">
        <v>1.8</v>
      </c>
      <c r="E126" s="29"/>
      <c r="F126" s="29"/>
      <c r="G126" s="91">
        <f t="shared" si="19"/>
        <v>0</v>
      </c>
      <c r="H126" s="91"/>
    </row>
    <row r="127" spans="1:8" s="101" customFormat="1" ht="39" customHeight="1">
      <c r="A127" s="142"/>
      <c r="B127" s="70" t="s">
        <v>418</v>
      </c>
      <c r="C127" s="105"/>
      <c r="D127" s="30">
        <v>2.2999999999999998</v>
      </c>
      <c r="E127" s="29"/>
      <c r="F127" s="29"/>
      <c r="G127" s="91">
        <f t="shared" si="19"/>
        <v>0</v>
      </c>
      <c r="H127" s="91"/>
    </row>
    <row r="128" spans="1:8" s="101" customFormat="1">
      <c r="A128" s="142"/>
      <c r="B128" s="70" t="s">
        <v>177</v>
      </c>
      <c r="C128" s="105"/>
      <c r="D128" s="30">
        <v>25.6</v>
      </c>
      <c r="E128" s="29"/>
      <c r="F128" s="29"/>
      <c r="G128" s="91">
        <f t="shared" si="19"/>
        <v>0</v>
      </c>
      <c r="H128" s="91"/>
    </row>
    <row r="129" spans="1:8" s="101" customFormat="1" ht="37.5" customHeight="1">
      <c r="A129" s="287" t="s">
        <v>92</v>
      </c>
      <c r="B129" s="288"/>
      <c r="C129" s="105">
        <v>1035</v>
      </c>
      <c r="D129" s="29">
        <f>SUM(D130:D150)</f>
        <v>154.4</v>
      </c>
      <c r="E129" s="29">
        <f>SUM(E130:E150)</f>
        <v>201.29999999999998</v>
      </c>
      <c r="F129" s="29">
        <f>SUM(F130:F150)</f>
        <v>133.20000000000002</v>
      </c>
      <c r="G129" s="91">
        <f>F129-E129</f>
        <v>-68.099999999999966</v>
      </c>
      <c r="H129" s="91">
        <f>(F129/E129)*100</f>
        <v>66.169895678092416</v>
      </c>
    </row>
    <row r="130" spans="1:8" s="101" customFormat="1" ht="37.5" customHeight="1">
      <c r="A130" s="142"/>
      <c r="B130" s="70" t="s">
        <v>418</v>
      </c>
      <c r="C130" s="105"/>
      <c r="D130" s="30">
        <v>0.2</v>
      </c>
      <c r="E130" s="29"/>
      <c r="F130" s="29"/>
      <c r="G130" s="93">
        <f t="shared" ref="G130:G150" si="20">F130-E130</f>
        <v>0</v>
      </c>
      <c r="H130" s="93"/>
    </row>
    <row r="131" spans="1:8" s="101" customFormat="1">
      <c r="A131" s="142"/>
      <c r="B131" s="70" t="s">
        <v>175</v>
      </c>
      <c r="C131" s="105"/>
      <c r="D131" s="30">
        <v>47.8</v>
      </c>
      <c r="E131" s="29"/>
      <c r="F131" s="30">
        <v>7.7</v>
      </c>
      <c r="G131" s="93">
        <f t="shared" si="20"/>
        <v>7.7</v>
      </c>
      <c r="H131" s="93"/>
    </row>
    <row r="132" spans="1:8" s="101" customFormat="1" ht="21.75" customHeight="1">
      <c r="A132" s="142"/>
      <c r="B132" s="70" t="s">
        <v>380</v>
      </c>
      <c r="C132" s="105"/>
      <c r="D132" s="30">
        <v>3.3</v>
      </c>
      <c r="E132" s="30">
        <v>8.1</v>
      </c>
      <c r="F132" s="30">
        <v>1.8</v>
      </c>
      <c r="G132" s="93">
        <f t="shared" si="20"/>
        <v>-6.3</v>
      </c>
      <c r="H132" s="93">
        <f t="shared" ref="H132:H150" si="21">(F132/E132)*100</f>
        <v>22.222222222222225</v>
      </c>
    </row>
    <row r="133" spans="1:8" s="101" customFormat="1">
      <c r="A133" s="142"/>
      <c r="B133" s="70" t="s">
        <v>174</v>
      </c>
      <c r="C133" s="105"/>
      <c r="D133" s="30">
        <v>33.6</v>
      </c>
      <c r="E133" s="30">
        <v>1.1000000000000001</v>
      </c>
      <c r="F133" s="30">
        <v>16.2</v>
      </c>
      <c r="G133" s="93">
        <f t="shared" si="20"/>
        <v>15.1</v>
      </c>
      <c r="H133" s="93">
        <f t="shared" si="21"/>
        <v>1472.7272727272725</v>
      </c>
    </row>
    <row r="134" spans="1:8" s="101" customFormat="1">
      <c r="A134" s="142"/>
      <c r="B134" s="70" t="s">
        <v>193</v>
      </c>
      <c r="C134" s="105"/>
      <c r="D134" s="30">
        <v>4.8</v>
      </c>
      <c r="E134" s="30"/>
      <c r="F134" s="29"/>
      <c r="G134" s="93">
        <f t="shared" si="20"/>
        <v>0</v>
      </c>
      <c r="H134" s="93"/>
    </row>
    <row r="135" spans="1:8" s="101" customFormat="1">
      <c r="A135" s="121"/>
      <c r="B135" s="64" t="s">
        <v>192</v>
      </c>
      <c r="C135" s="106"/>
      <c r="D135" s="30">
        <v>2.4</v>
      </c>
      <c r="E135" s="30">
        <v>13.4</v>
      </c>
      <c r="F135" s="30"/>
      <c r="G135" s="93">
        <f t="shared" si="20"/>
        <v>-13.4</v>
      </c>
      <c r="H135" s="93">
        <f t="shared" si="21"/>
        <v>0</v>
      </c>
    </row>
    <row r="136" spans="1:8" s="101" customFormat="1" ht="21.75" customHeight="1">
      <c r="A136" s="121"/>
      <c r="B136" s="64" t="s">
        <v>439</v>
      </c>
      <c r="C136" s="106"/>
      <c r="D136" s="30">
        <v>2</v>
      </c>
      <c r="E136" s="30"/>
      <c r="F136" s="30"/>
      <c r="G136" s="93">
        <f t="shared" si="20"/>
        <v>0</v>
      </c>
      <c r="H136" s="93"/>
    </row>
    <row r="137" spans="1:8" s="101" customFormat="1" ht="27.75" customHeight="1">
      <c r="A137" s="121"/>
      <c r="B137" s="64" t="s">
        <v>386</v>
      </c>
      <c r="C137" s="106"/>
      <c r="D137" s="30"/>
      <c r="E137" s="30">
        <v>3.3</v>
      </c>
      <c r="F137" s="30">
        <v>3.3</v>
      </c>
      <c r="G137" s="93">
        <f t="shared" si="20"/>
        <v>0</v>
      </c>
      <c r="H137" s="93">
        <f t="shared" si="21"/>
        <v>100</v>
      </c>
    </row>
    <row r="138" spans="1:8" s="101" customFormat="1" ht="55.5" customHeight="1">
      <c r="A138" s="121"/>
      <c r="B138" s="70" t="s">
        <v>423</v>
      </c>
      <c r="C138" s="106"/>
      <c r="D138" s="30">
        <v>0.8</v>
      </c>
      <c r="E138" s="30"/>
      <c r="F138" s="30"/>
      <c r="G138" s="93">
        <f t="shared" si="20"/>
        <v>0</v>
      </c>
      <c r="H138" s="93"/>
    </row>
    <row r="139" spans="1:8" s="101" customFormat="1" ht="23.25" customHeight="1">
      <c r="A139" s="121"/>
      <c r="B139" s="64" t="s">
        <v>194</v>
      </c>
      <c r="C139" s="106"/>
      <c r="D139" s="30">
        <v>0.5</v>
      </c>
      <c r="E139" s="30"/>
      <c r="F139" s="30"/>
      <c r="G139" s="93">
        <f t="shared" si="20"/>
        <v>0</v>
      </c>
      <c r="H139" s="93"/>
    </row>
    <row r="140" spans="1:8" s="101" customFormat="1" ht="21" customHeight="1">
      <c r="A140" s="121"/>
      <c r="B140" s="64" t="s">
        <v>430</v>
      </c>
      <c r="C140" s="106"/>
      <c r="D140" s="30"/>
      <c r="E140" s="30">
        <v>90.4</v>
      </c>
      <c r="F140" s="30"/>
      <c r="G140" s="93">
        <f t="shared" si="20"/>
        <v>-90.4</v>
      </c>
      <c r="H140" s="93">
        <f t="shared" si="21"/>
        <v>0</v>
      </c>
    </row>
    <row r="141" spans="1:8" s="101" customFormat="1" ht="23.25" customHeight="1">
      <c r="A141" s="121"/>
      <c r="B141" s="64" t="s">
        <v>431</v>
      </c>
      <c r="C141" s="106"/>
      <c r="D141" s="30"/>
      <c r="E141" s="30">
        <v>1.6</v>
      </c>
      <c r="F141" s="30">
        <v>1.6</v>
      </c>
      <c r="G141" s="93">
        <f t="shared" si="20"/>
        <v>0</v>
      </c>
      <c r="H141" s="93">
        <f t="shared" si="21"/>
        <v>100</v>
      </c>
    </row>
    <row r="142" spans="1:8" s="101" customFormat="1" ht="20.25" customHeight="1">
      <c r="A142" s="121"/>
      <c r="B142" s="64" t="s">
        <v>432</v>
      </c>
      <c r="C142" s="106"/>
      <c r="D142" s="30">
        <v>0.6</v>
      </c>
      <c r="E142" s="30">
        <v>0.3</v>
      </c>
      <c r="F142" s="30">
        <v>0.3</v>
      </c>
      <c r="G142" s="93">
        <f t="shared" si="20"/>
        <v>0</v>
      </c>
      <c r="H142" s="93">
        <f t="shared" si="21"/>
        <v>100</v>
      </c>
    </row>
    <row r="143" spans="1:8" s="101" customFormat="1" ht="21" customHeight="1">
      <c r="A143" s="121"/>
      <c r="B143" s="64" t="s">
        <v>399</v>
      </c>
      <c r="C143" s="106"/>
      <c r="D143" s="30">
        <v>48</v>
      </c>
      <c r="E143" s="30">
        <v>81.2</v>
      </c>
      <c r="F143" s="30">
        <v>74.599999999999994</v>
      </c>
      <c r="G143" s="93">
        <f t="shared" si="20"/>
        <v>-6.6000000000000085</v>
      </c>
      <c r="H143" s="93">
        <f t="shared" si="21"/>
        <v>91.871921182266007</v>
      </c>
    </row>
    <row r="144" spans="1:8" s="101" customFormat="1" ht="21" customHeight="1">
      <c r="A144" s="121"/>
      <c r="B144" s="64" t="s">
        <v>400</v>
      </c>
      <c r="C144" s="106"/>
      <c r="D144" s="30"/>
      <c r="E144" s="30">
        <v>0.7</v>
      </c>
      <c r="F144" s="30"/>
      <c r="G144" s="93">
        <f t="shared" si="20"/>
        <v>-0.7</v>
      </c>
      <c r="H144" s="93">
        <f t="shared" si="21"/>
        <v>0</v>
      </c>
    </row>
    <row r="145" spans="1:8" s="101" customFormat="1" ht="21" customHeight="1">
      <c r="A145" s="121"/>
      <c r="B145" s="64" t="s">
        <v>454</v>
      </c>
      <c r="C145" s="106"/>
      <c r="D145" s="30"/>
      <c r="E145" s="30"/>
      <c r="F145" s="30">
        <v>7.7</v>
      </c>
      <c r="G145" s="93">
        <f t="shared" si="20"/>
        <v>7.7</v>
      </c>
      <c r="H145" s="93"/>
    </row>
    <row r="146" spans="1:8" s="101" customFormat="1" ht="21.75" customHeight="1">
      <c r="A146" s="121"/>
      <c r="B146" s="64" t="s">
        <v>185</v>
      </c>
      <c r="C146" s="106"/>
      <c r="D146" s="30">
        <v>3.8</v>
      </c>
      <c r="E146" s="30"/>
      <c r="F146" s="30"/>
      <c r="G146" s="93">
        <f t="shared" si="20"/>
        <v>0</v>
      </c>
      <c r="H146" s="93"/>
    </row>
    <row r="147" spans="1:8" s="101" customFormat="1" ht="19.5" customHeight="1">
      <c r="A147" s="121"/>
      <c r="B147" s="64" t="s">
        <v>438</v>
      </c>
      <c r="C147" s="106"/>
      <c r="D147" s="30">
        <v>6.6</v>
      </c>
      <c r="E147" s="30"/>
      <c r="F147" s="30">
        <v>8.1999999999999993</v>
      </c>
      <c r="G147" s="93">
        <f t="shared" si="20"/>
        <v>8.1999999999999993</v>
      </c>
      <c r="H147" s="93"/>
    </row>
    <row r="148" spans="1:8" s="101" customFormat="1" ht="18" customHeight="1">
      <c r="A148" s="121"/>
      <c r="B148" s="64" t="s">
        <v>449</v>
      </c>
      <c r="C148" s="106"/>
      <c r="D148" s="30"/>
      <c r="E148" s="30"/>
      <c r="F148" s="30">
        <v>10.3</v>
      </c>
      <c r="G148" s="93">
        <f t="shared" si="20"/>
        <v>10.3</v>
      </c>
      <c r="H148" s="93"/>
    </row>
    <row r="149" spans="1:8" s="101" customFormat="1" ht="19.5" customHeight="1">
      <c r="A149" s="121"/>
      <c r="B149" s="64" t="s">
        <v>366</v>
      </c>
      <c r="C149" s="106"/>
      <c r="D149" s="30"/>
      <c r="E149" s="30"/>
      <c r="F149" s="30">
        <v>0.3</v>
      </c>
      <c r="G149" s="93">
        <f t="shared" si="20"/>
        <v>0.3</v>
      </c>
      <c r="H149" s="93"/>
    </row>
    <row r="150" spans="1:8" s="101" customFormat="1" ht="37.5" customHeight="1">
      <c r="A150" s="121"/>
      <c r="B150" s="70" t="s">
        <v>433</v>
      </c>
      <c r="C150" s="106"/>
      <c r="D150" s="30"/>
      <c r="E150" s="30">
        <v>1.2</v>
      </c>
      <c r="F150" s="30">
        <v>1.2</v>
      </c>
      <c r="G150" s="93">
        <f t="shared" si="20"/>
        <v>0</v>
      </c>
      <c r="H150" s="93">
        <f t="shared" si="21"/>
        <v>100</v>
      </c>
    </row>
    <row r="151" spans="1:8">
      <c r="B151" s="99"/>
      <c r="D151" s="140"/>
      <c r="E151" s="100"/>
      <c r="F151" s="100"/>
    </row>
    <row r="152" spans="1:8" ht="24.75" customHeight="1">
      <c r="B152" s="241" t="s">
        <v>604</v>
      </c>
      <c r="C152" s="31"/>
      <c r="D152" s="283"/>
      <c r="E152" s="283"/>
      <c r="F152" s="145"/>
      <c r="G152" s="295" t="s">
        <v>536</v>
      </c>
      <c r="H152" s="295"/>
    </row>
    <row r="153" spans="1:8">
      <c r="B153" s="146" t="s">
        <v>60</v>
      </c>
      <c r="C153" s="32"/>
      <c r="D153" s="284" t="s">
        <v>66</v>
      </c>
      <c r="E153" s="284"/>
      <c r="F153" s="141"/>
      <c r="G153" s="296" t="s">
        <v>18</v>
      </c>
      <c r="H153" s="296"/>
    </row>
    <row r="154" spans="1:8">
      <c r="B154" s="99"/>
      <c r="D154" s="140"/>
      <c r="E154" s="100"/>
      <c r="F154" s="100"/>
    </row>
    <row r="155" spans="1:8">
      <c r="B155" s="99"/>
      <c r="D155" s="140"/>
      <c r="E155" s="100"/>
      <c r="F155" s="100"/>
    </row>
    <row r="156" spans="1:8">
      <c r="B156" s="99"/>
      <c r="D156" s="140"/>
      <c r="E156" s="100"/>
      <c r="F156" s="100"/>
    </row>
    <row r="157" spans="1:8">
      <c r="B157" s="99"/>
      <c r="D157" s="140"/>
      <c r="E157" s="100"/>
      <c r="F157" s="100"/>
    </row>
    <row r="158" spans="1:8">
      <c r="B158" s="99"/>
      <c r="D158" s="140"/>
      <c r="E158" s="100"/>
      <c r="F158" s="100"/>
    </row>
    <row r="159" spans="1:8">
      <c r="B159" s="99"/>
      <c r="D159" s="140"/>
      <c r="E159" s="100"/>
      <c r="F159" s="100"/>
    </row>
    <row r="160" spans="1:8">
      <c r="B160" s="99"/>
      <c r="D160" s="140"/>
      <c r="E160" s="100"/>
      <c r="F160" s="100"/>
    </row>
    <row r="161" spans="2:6">
      <c r="B161" s="99"/>
      <c r="D161" s="140"/>
      <c r="E161" s="100"/>
      <c r="F161" s="100"/>
    </row>
    <row r="162" spans="2:6">
      <c r="B162" s="99"/>
      <c r="D162" s="140"/>
      <c r="E162" s="100"/>
      <c r="F162" s="100"/>
    </row>
    <row r="163" spans="2:6">
      <c r="B163" s="99"/>
      <c r="D163" s="140"/>
      <c r="E163" s="100"/>
      <c r="F163" s="100"/>
    </row>
    <row r="164" spans="2:6">
      <c r="B164" s="99"/>
      <c r="D164" s="140"/>
      <c r="E164" s="100"/>
      <c r="F164" s="100"/>
    </row>
    <row r="165" spans="2:6">
      <c r="B165" s="99"/>
      <c r="D165" s="140"/>
      <c r="E165" s="100"/>
      <c r="F165" s="100"/>
    </row>
    <row r="166" spans="2:6">
      <c r="B166" s="99"/>
      <c r="D166" s="140"/>
      <c r="E166" s="100"/>
      <c r="F166" s="100"/>
    </row>
    <row r="167" spans="2:6">
      <c r="B167" s="99"/>
      <c r="D167" s="140"/>
      <c r="E167" s="100"/>
      <c r="F167" s="100"/>
    </row>
    <row r="168" spans="2:6">
      <c r="B168" s="99"/>
      <c r="D168" s="140"/>
      <c r="E168" s="100"/>
      <c r="F168" s="100"/>
    </row>
    <row r="169" spans="2:6">
      <c r="B169" s="99"/>
      <c r="D169" s="140"/>
      <c r="E169" s="100"/>
      <c r="F169" s="100"/>
    </row>
    <row r="170" spans="2:6">
      <c r="B170" s="99"/>
      <c r="D170" s="140"/>
      <c r="E170" s="100"/>
      <c r="F170" s="100"/>
    </row>
    <row r="171" spans="2:6">
      <c r="B171" s="99"/>
      <c r="D171" s="140"/>
      <c r="E171" s="100"/>
      <c r="F171" s="100"/>
    </row>
    <row r="172" spans="2:6">
      <c r="B172" s="99"/>
      <c r="D172" s="140"/>
      <c r="E172" s="100"/>
      <c r="F172" s="100"/>
    </row>
    <row r="173" spans="2:6">
      <c r="B173" s="99"/>
      <c r="D173" s="140"/>
      <c r="E173" s="100"/>
      <c r="F173" s="100"/>
    </row>
    <row r="174" spans="2:6">
      <c r="B174" s="99"/>
      <c r="D174" s="140"/>
      <c r="E174" s="100"/>
      <c r="F174" s="100"/>
    </row>
    <row r="175" spans="2:6">
      <c r="B175" s="99"/>
      <c r="D175" s="140"/>
      <c r="E175" s="100"/>
      <c r="F175" s="100"/>
    </row>
    <row r="176" spans="2:6">
      <c r="B176" s="99"/>
      <c r="D176" s="140"/>
      <c r="E176" s="100"/>
      <c r="F176" s="100"/>
    </row>
    <row r="177" spans="2:6">
      <c r="B177" s="99"/>
      <c r="D177" s="140"/>
      <c r="E177" s="100"/>
      <c r="F177" s="100"/>
    </row>
    <row r="178" spans="2:6">
      <c r="B178" s="99"/>
      <c r="D178" s="140"/>
      <c r="E178" s="100"/>
      <c r="F178" s="100"/>
    </row>
    <row r="179" spans="2:6">
      <c r="B179" s="99"/>
      <c r="D179" s="140"/>
      <c r="E179" s="100"/>
      <c r="F179" s="100"/>
    </row>
    <row r="180" spans="2:6">
      <c r="B180" s="99"/>
      <c r="D180" s="140"/>
      <c r="E180" s="100"/>
      <c r="F180" s="100"/>
    </row>
    <row r="181" spans="2:6">
      <c r="B181" s="99"/>
      <c r="D181" s="140"/>
      <c r="E181" s="100"/>
      <c r="F181" s="100"/>
    </row>
    <row r="182" spans="2:6">
      <c r="B182" s="99"/>
      <c r="D182" s="140"/>
      <c r="E182" s="100"/>
      <c r="F182" s="100"/>
    </row>
    <row r="183" spans="2:6">
      <c r="B183" s="99"/>
      <c r="D183" s="140"/>
      <c r="E183" s="100"/>
      <c r="F183" s="100"/>
    </row>
    <row r="184" spans="2:6">
      <c r="B184" s="99"/>
      <c r="D184" s="140"/>
      <c r="E184" s="100"/>
      <c r="F184" s="100"/>
    </row>
    <row r="185" spans="2:6">
      <c r="B185" s="99"/>
      <c r="D185" s="140"/>
      <c r="E185" s="100"/>
      <c r="F185" s="100"/>
    </row>
    <row r="186" spans="2:6">
      <c r="B186" s="99"/>
      <c r="D186" s="140"/>
      <c r="E186" s="100"/>
      <c r="F186" s="100"/>
    </row>
    <row r="187" spans="2:6">
      <c r="B187" s="99"/>
      <c r="D187" s="140"/>
      <c r="E187" s="100"/>
      <c r="F187" s="100"/>
    </row>
    <row r="188" spans="2:6">
      <c r="B188" s="99"/>
      <c r="D188" s="140"/>
      <c r="E188" s="100"/>
      <c r="F188" s="100"/>
    </row>
    <row r="189" spans="2:6">
      <c r="B189" s="99"/>
      <c r="D189" s="140"/>
      <c r="E189" s="100"/>
      <c r="F189" s="100"/>
    </row>
    <row r="190" spans="2:6">
      <c r="B190" s="99"/>
      <c r="D190" s="140"/>
      <c r="E190" s="100"/>
      <c r="F190" s="100"/>
    </row>
    <row r="191" spans="2:6">
      <c r="B191" s="99"/>
      <c r="D191" s="140"/>
      <c r="E191" s="100"/>
      <c r="F191" s="100"/>
    </row>
    <row r="192" spans="2:6">
      <c r="B192" s="99"/>
      <c r="D192" s="140"/>
      <c r="E192" s="100"/>
      <c r="F192" s="100"/>
    </row>
    <row r="193" spans="2:6">
      <c r="B193" s="99"/>
      <c r="D193" s="140"/>
      <c r="E193" s="100"/>
      <c r="F193" s="100"/>
    </row>
    <row r="194" spans="2:6">
      <c r="B194" s="99"/>
      <c r="D194" s="140"/>
      <c r="E194" s="100"/>
      <c r="F194" s="100"/>
    </row>
    <row r="195" spans="2:6">
      <c r="B195" s="99"/>
      <c r="D195" s="140"/>
      <c r="E195" s="100"/>
      <c r="F195" s="100"/>
    </row>
    <row r="196" spans="2:6">
      <c r="B196" s="99"/>
      <c r="D196" s="140"/>
      <c r="E196" s="100"/>
      <c r="F196" s="100"/>
    </row>
    <row r="197" spans="2:6">
      <c r="B197" s="99"/>
      <c r="D197" s="140"/>
      <c r="E197" s="100"/>
      <c r="F197" s="100"/>
    </row>
    <row r="198" spans="2:6">
      <c r="B198" s="99"/>
      <c r="D198" s="140"/>
      <c r="E198" s="100"/>
      <c r="F198" s="100"/>
    </row>
    <row r="199" spans="2:6">
      <c r="B199" s="99"/>
      <c r="D199" s="140"/>
      <c r="E199" s="100"/>
      <c r="F199" s="100"/>
    </row>
    <row r="200" spans="2:6">
      <c r="B200" s="99"/>
      <c r="D200" s="140"/>
      <c r="E200" s="100"/>
      <c r="F200" s="100"/>
    </row>
    <row r="201" spans="2:6">
      <c r="B201" s="99"/>
      <c r="D201" s="140"/>
      <c r="E201" s="100"/>
      <c r="F201" s="100"/>
    </row>
    <row r="202" spans="2:6">
      <c r="B202" s="99"/>
      <c r="D202" s="140"/>
      <c r="E202" s="100"/>
      <c r="F202" s="100"/>
    </row>
    <row r="203" spans="2:6">
      <c r="B203" s="99"/>
      <c r="D203" s="140"/>
      <c r="E203" s="100"/>
      <c r="F203" s="100"/>
    </row>
    <row r="204" spans="2:6">
      <c r="B204" s="99"/>
      <c r="D204" s="140"/>
      <c r="E204" s="100"/>
      <c r="F204" s="100"/>
    </row>
    <row r="205" spans="2:6">
      <c r="B205" s="99"/>
      <c r="D205" s="140"/>
      <c r="E205" s="100"/>
      <c r="F205" s="100"/>
    </row>
    <row r="206" spans="2:6">
      <c r="B206" s="99"/>
      <c r="D206" s="140"/>
      <c r="E206" s="100"/>
      <c r="F206" s="100"/>
    </row>
    <row r="207" spans="2:6">
      <c r="B207" s="99"/>
      <c r="D207" s="140"/>
      <c r="E207" s="100"/>
      <c r="F207" s="100"/>
    </row>
    <row r="208" spans="2:6">
      <c r="B208" s="99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</sheetData>
  <mergeCells count="20">
    <mergeCell ref="G152:H152"/>
    <mergeCell ref="G153:H153"/>
    <mergeCell ref="A129:B129"/>
    <mergeCell ref="A120:B120"/>
    <mergeCell ref="A121:B121"/>
    <mergeCell ref="B2:F2"/>
    <mergeCell ref="D152:E152"/>
    <mergeCell ref="D153:E153"/>
    <mergeCell ref="A31:B31"/>
    <mergeCell ref="A32:B32"/>
    <mergeCell ref="A33:B33"/>
    <mergeCell ref="A53:B53"/>
    <mergeCell ref="A86:B86"/>
    <mergeCell ref="A87:B87"/>
    <mergeCell ref="A94:B94"/>
    <mergeCell ref="A6:B6"/>
    <mergeCell ref="A7:B7"/>
    <mergeCell ref="A12:B12"/>
    <mergeCell ref="A28:B28"/>
    <mergeCell ref="A26:B26"/>
  </mergeCells>
  <pageMargins left="0.23622047244094491" right="0.23622047244094491" top="0.23622047244094491" bottom="0.23622047244094491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R649"/>
  <sheetViews>
    <sheetView view="pageBreakPreview" zoomScale="70" zoomScaleNormal="70" zoomScaleSheetLayoutView="70" workbookViewId="0">
      <selection activeCell="E7" sqref="E7"/>
    </sheetView>
  </sheetViews>
  <sheetFormatPr defaultRowHeight="26.25" customHeight="1"/>
  <cols>
    <col min="1" max="1" width="9.140625" style="32"/>
    <col min="2" max="2" width="106.140625" style="32" customWidth="1"/>
    <col min="3" max="3" width="14.140625" style="83" customWidth="1"/>
    <col min="4" max="4" width="16.140625" style="118" customWidth="1"/>
    <col min="5" max="5" width="16.7109375" style="118" customWidth="1"/>
    <col min="6" max="6" width="16.140625" style="82" customWidth="1"/>
    <col min="7" max="7" width="16.140625" style="32" customWidth="1"/>
    <col min="8" max="8" width="16.42578125" style="32" customWidth="1"/>
    <col min="9" max="9" width="11.7109375" style="32" customWidth="1"/>
    <col min="10" max="10" width="9.140625" style="32"/>
    <col min="11" max="11" width="15.5703125" style="32" customWidth="1"/>
    <col min="12" max="12" width="15.85546875" style="32" customWidth="1"/>
    <col min="13" max="13" width="17.42578125" style="32" customWidth="1"/>
    <col min="14" max="14" width="18.7109375" style="32" customWidth="1"/>
    <col min="15" max="15" width="9.140625" style="32"/>
    <col min="16" max="16" width="16.85546875" style="32" bestFit="1" customWidth="1"/>
    <col min="17" max="17" width="17" style="32" customWidth="1"/>
    <col min="18" max="18" width="17.42578125" style="32" customWidth="1"/>
    <col min="19" max="16384" width="9.140625" style="32"/>
  </cols>
  <sheetData>
    <row r="1" spans="1:18" ht="26.25" customHeight="1">
      <c r="C1" s="139"/>
      <c r="D1" s="139"/>
      <c r="E1" s="139"/>
      <c r="F1" s="139"/>
    </row>
    <row r="2" spans="1:18" ht="26.25" customHeight="1">
      <c r="B2" s="282" t="s">
        <v>121</v>
      </c>
      <c r="C2" s="282"/>
      <c r="D2" s="282"/>
      <c r="E2" s="282"/>
      <c r="F2" s="282"/>
      <c r="G2" s="282"/>
      <c r="H2" s="282"/>
    </row>
    <row r="3" spans="1:18" ht="26.25" customHeight="1">
      <c r="B3" s="86"/>
      <c r="C3" s="217"/>
      <c r="D3" s="86"/>
      <c r="E3" s="86"/>
      <c r="F3" s="86"/>
      <c r="H3" s="32" t="s">
        <v>65</v>
      </c>
    </row>
    <row r="4" spans="1:18" ht="68.25" customHeight="1">
      <c r="A4" s="87" t="s">
        <v>75</v>
      </c>
      <c r="B4" s="87" t="s">
        <v>24</v>
      </c>
      <c r="C4" s="88" t="s">
        <v>5</v>
      </c>
      <c r="D4" s="68" t="s">
        <v>137</v>
      </c>
      <c r="E4" s="88" t="s">
        <v>138</v>
      </c>
      <c r="F4" s="88" t="s">
        <v>139</v>
      </c>
      <c r="G4" s="68" t="s">
        <v>111</v>
      </c>
      <c r="H4" s="68" t="s">
        <v>114</v>
      </c>
    </row>
    <row r="5" spans="1:18" ht="26.25" customHeight="1">
      <c r="A5" s="67">
        <v>1</v>
      </c>
      <c r="B5" s="67">
        <v>2</v>
      </c>
      <c r="C5" s="68">
        <v>3</v>
      </c>
      <c r="D5" s="68">
        <v>4</v>
      </c>
      <c r="E5" s="68">
        <v>5</v>
      </c>
      <c r="F5" s="68">
        <v>6</v>
      </c>
      <c r="G5" s="67">
        <v>7</v>
      </c>
      <c r="H5" s="67">
        <v>8</v>
      </c>
    </row>
    <row r="6" spans="1:18" ht="26.25" customHeight="1">
      <c r="A6" s="285" t="s">
        <v>83</v>
      </c>
      <c r="B6" s="286"/>
      <c r="C6" s="68"/>
      <c r="D6" s="208">
        <f>SUM(D7,D45,D50,D120,D158,D202,D207,D243,D254,D259,D295,D304,D309,D314,D322,D329,D352,D389,D394,D403,D408,D413,D417)</f>
        <v>50473.600000000013</v>
      </c>
      <c r="E6" s="208">
        <f t="shared" ref="E6:F6" si="0">SUM(E7,E45,E50,E120,E158,E202,E207,E243,E254,E259,E295,E304,E309,E314,E322,E329,E352,E389,E394,E403,E408,E413,E417)</f>
        <v>60140.799999999988</v>
      </c>
      <c r="F6" s="208">
        <f t="shared" si="0"/>
        <v>69925.10000000002</v>
      </c>
      <c r="G6" s="91">
        <f>F6-E6</f>
        <v>9784.300000000032</v>
      </c>
      <c r="H6" s="91">
        <f>F6/E6*100</f>
        <v>116.26898877301272</v>
      </c>
    </row>
    <row r="7" spans="1:18" ht="26.25" customHeight="1">
      <c r="A7" s="89" t="s">
        <v>84</v>
      </c>
      <c r="B7" s="90" t="s">
        <v>122</v>
      </c>
      <c r="C7" s="89"/>
      <c r="D7" s="29">
        <f>D9+D29+D38</f>
        <v>22792.2</v>
      </c>
      <c r="E7" s="29">
        <f>E9+E29+E38</f>
        <v>48666.899999999994</v>
      </c>
      <c r="F7" s="29">
        <f>F9+F29+F38</f>
        <v>53162.3</v>
      </c>
      <c r="G7" s="91">
        <f>F7-E7</f>
        <v>4495.4000000000087</v>
      </c>
      <c r="H7" s="91">
        <f>(F7/E7)*100</f>
        <v>109.2370790003062</v>
      </c>
      <c r="L7" s="34"/>
      <c r="M7" s="34"/>
      <c r="N7" s="34"/>
    </row>
    <row r="8" spans="1:18" ht="26.25" customHeight="1">
      <c r="A8" s="67"/>
      <c r="B8" s="64" t="s">
        <v>85</v>
      </c>
      <c r="C8" s="68"/>
      <c r="D8" s="30"/>
      <c r="E8" s="30"/>
      <c r="F8" s="30"/>
      <c r="G8" s="91"/>
      <c r="H8" s="91"/>
      <c r="L8" s="108">
        <f>L9+L16+L23</f>
        <v>50473.600000000006</v>
      </c>
      <c r="M8" s="101">
        <f>M9+M16+M23</f>
        <v>60140.799999999988</v>
      </c>
      <c r="N8" s="101">
        <f>N9+N16+N23</f>
        <v>69925.099999999991</v>
      </c>
    </row>
    <row r="9" spans="1:18" ht="26.25" customHeight="1">
      <c r="A9" s="98" t="s">
        <v>86</v>
      </c>
      <c r="B9" s="190" t="s">
        <v>89</v>
      </c>
      <c r="C9" s="94">
        <v>1010</v>
      </c>
      <c r="D9" s="156">
        <f>D10+D18+D15+D16+D17</f>
        <v>19935.900000000001</v>
      </c>
      <c r="E9" s="156">
        <f>E10+E18+E15+E16+E17</f>
        <v>45374.399999999994</v>
      </c>
      <c r="F9" s="156">
        <f>F10+F18+F15+F16+F17</f>
        <v>49159.5</v>
      </c>
      <c r="G9" s="191">
        <f>F9-E9</f>
        <v>3785.1000000000058</v>
      </c>
      <c r="H9" s="191">
        <f>(F9/E9)*100</f>
        <v>108.34192848831061</v>
      </c>
      <c r="K9" s="184">
        <v>1010</v>
      </c>
      <c r="L9" s="185">
        <f>SUM(D9,D47,D52,D122,D160,D204,D209,D245,D256,D261,D297,D306,D311,D330,D354,D391,D396,D419,)</f>
        <v>45397.000000000007</v>
      </c>
      <c r="M9" s="185">
        <f t="shared" ref="M9:N9" si="1">SUM(E9,E47,E52,E122,E160,E204,E209,E245,E256,E261,E297,E306,E311,E330,E354,E391,E396,E419,)</f>
        <v>56467.599999999991</v>
      </c>
      <c r="N9" s="185">
        <f t="shared" si="1"/>
        <v>65141.099999999991</v>
      </c>
      <c r="P9" s="297"/>
      <c r="Q9" s="297"/>
      <c r="R9" s="297"/>
    </row>
    <row r="10" spans="1:18" ht="26.25" customHeight="1">
      <c r="A10" s="75" t="s">
        <v>224</v>
      </c>
      <c r="B10" s="192" t="s">
        <v>108</v>
      </c>
      <c r="C10" s="65">
        <v>1011</v>
      </c>
      <c r="D10" s="33">
        <f>SUM(D11:D12)</f>
        <v>1591.6</v>
      </c>
      <c r="E10" s="33">
        <f>SUM(E11:E14)</f>
        <v>2392.5999999999995</v>
      </c>
      <c r="F10" s="33">
        <f>SUM(F11:F14)</f>
        <v>4023.1</v>
      </c>
      <c r="G10" s="188">
        <f t="shared" ref="G10:G27" si="2">F10-E10</f>
        <v>1630.5000000000005</v>
      </c>
      <c r="H10" s="188">
        <f t="shared" ref="H10:H26" si="3">(F10/E10)*100</f>
        <v>168.14762183398818</v>
      </c>
      <c r="K10" s="184">
        <v>1011</v>
      </c>
      <c r="L10" s="34">
        <f>SUM(D10,D53,D123,D161,D210,D246,D262,D298,D331,D355,D392,)</f>
        <v>7203.3999999999987</v>
      </c>
      <c r="M10" s="34">
        <f t="shared" ref="M10:N10" si="4">SUM(E10,E53,E123,E161,E210,E246,E262,E298,E331,E355,E392,)</f>
        <v>7553</v>
      </c>
      <c r="N10" s="34">
        <f t="shared" si="4"/>
        <v>12265.4</v>
      </c>
      <c r="P10" s="297"/>
      <c r="Q10" s="297"/>
      <c r="R10" s="297"/>
    </row>
    <row r="11" spans="1:18" ht="26.25" customHeight="1">
      <c r="A11" s="75"/>
      <c r="B11" s="60" t="s">
        <v>140</v>
      </c>
      <c r="C11" s="61"/>
      <c r="D11" s="30">
        <v>1551.6</v>
      </c>
      <c r="E11" s="30">
        <v>2160.6999999999998</v>
      </c>
      <c r="F11" s="30">
        <v>3723.2</v>
      </c>
      <c r="G11" s="93">
        <f t="shared" si="2"/>
        <v>1562.5</v>
      </c>
      <c r="H11" s="93">
        <f t="shared" si="3"/>
        <v>172.31452769935669</v>
      </c>
      <c r="K11" s="184">
        <v>1012</v>
      </c>
      <c r="L11" s="34">
        <f>SUM(D15,D48,D215,D257,D270,)</f>
        <v>27687.800000000003</v>
      </c>
      <c r="M11" s="34">
        <f t="shared" ref="M11:N11" si="5">SUM(E15,E48,E215,E257,E270,)</f>
        <v>36937.700000000004</v>
      </c>
      <c r="N11" s="34">
        <f t="shared" si="5"/>
        <v>38672.300000000003</v>
      </c>
    </row>
    <row r="12" spans="1:18" ht="26.25" customHeight="1">
      <c r="A12" s="75"/>
      <c r="B12" s="62" t="s">
        <v>141</v>
      </c>
      <c r="C12" s="61"/>
      <c r="D12" s="30">
        <v>40</v>
      </c>
      <c r="E12" s="30">
        <v>115.5</v>
      </c>
      <c r="F12" s="30">
        <v>267.89999999999998</v>
      </c>
      <c r="G12" s="93">
        <f t="shared" si="2"/>
        <v>152.39999999999998</v>
      </c>
      <c r="H12" s="93">
        <f t="shared" si="3"/>
        <v>231.94805194805195</v>
      </c>
      <c r="K12" s="184">
        <v>1013</v>
      </c>
      <c r="L12" s="34">
        <f>SUM(D16,D49,D216,D258,D271,)</f>
        <v>5941.0999999999995</v>
      </c>
      <c r="M12" s="34">
        <f t="shared" ref="M12:N12" si="6">SUM(E16,E49,E216,E258,E271,)</f>
        <v>7950.5</v>
      </c>
      <c r="N12" s="34">
        <f t="shared" si="6"/>
        <v>8180.7000000000007</v>
      </c>
      <c r="O12" s="101"/>
      <c r="P12" s="108"/>
      <c r="Q12" s="108"/>
      <c r="R12" s="108"/>
    </row>
    <row r="13" spans="1:18" ht="26.25" customHeight="1">
      <c r="A13" s="75"/>
      <c r="B13" s="62" t="s">
        <v>440</v>
      </c>
      <c r="C13" s="61"/>
      <c r="D13" s="30"/>
      <c r="E13" s="30">
        <v>12.7</v>
      </c>
      <c r="F13" s="30">
        <v>32</v>
      </c>
      <c r="G13" s="93">
        <f t="shared" si="2"/>
        <v>19.3</v>
      </c>
      <c r="H13" s="93">
        <f t="shared" si="3"/>
        <v>251.96850393700788</v>
      </c>
      <c r="K13" s="184">
        <v>1014</v>
      </c>
      <c r="L13" s="34">
        <f>SUM(D17,D63,D166,D217,D272,D362,D420)</f>
        <v>968.3</v>
      </c>
      <c r="M13" s="34">
        <f t="shared" ref="M13:N13" si="7">SUM(E17,E63,E166,E217,E272,E362,E420)</f>
        <v>0</v>
      </c>
      <c r="N13" s="34">
        <f t="shared" si="7"/>
        <v>1288.0999999999999</v>
      </c>
      <c r="O13" s="34"/>
      <c r="P13" s="108"/>
      <c r="Q13" s="108"/>
      <c r="R13" s="108"/>
    </row>
    <row r="14" spans="1:18" ht="26.25" customHeight="1">
      <c r="A14" s="75"/>
      <c r="B14" s="62" t="s">
        <v>373</v>
      </c>
      <c r="C14" s="61"/>
      <c r="D14" s="30"/>
      <c r="E14" s="30">
        <v>103.7</v>
      </c>
      <c r="F14" s="30"/>
      <c r="G14" s="93">
        <f t="shared" si="2"/>
        <v>-103.7</v>
      </c>
      <c r="H14" s="93">
        <f t="shared" si="3"/>
        <v>0</v>
      </c>
      <c r="K14" s="184">
        <v>1015</v>
      </c>
      <c r="L14" s="34">
        <f>SUM(D18,D64,D129,D167,D205,D218,D273,D307,D312,D338,D363,D397,)</f>
        <v>3596.4</v>
      </c>
      <c r="M14" s="34">
        <f>SUM(E18,E64,E129,E167,E205,E218,E273,E307,E312,E338,E363,E397,)</f>
        <v>4026.4</v>
      </c>
      <c r="N14" s="34">
        <f>SUM(F18,F64,F129,F167,F205,F218,F273,F307,F312,F338,F363,F397,)</f>
        <v>4734.6000000000004</v>
      </c>
      <c r="O14" s="101"/>
      <c r="P14" s="108"/>
      <c r="Q14" s="108"/>
      <c r="R14" s="108"/>
    </row>
    <row r="15" spans="1:18" ht="26.25" customHeight="1">
      <c r="A15" s="75" t="s">
        <v>225</v>
      </c>
      <c r="B15" s="76" t="s">
        <v>2</v>
      </c>
      <c r="C15" s="127">
        <v>1012</v>
      </c>
      <c r="D15" s="33">
        <f>17475.7-2516</f>
        <v>14959.7</v>
      </c>
      <c r="E15" s="33">
        <v>34904.400000000001</v>
      </c>
      <c r="F15" s="33">
        <f>36683-34.2</f>
        <v>36648.800000000003</v>
      </c>
      <c r="G15" s="188">
        <f t="shared" si="2"/>
        <v>1744.4000000000015</v>
      </c>
      <c r="H15" s="188">
        <f t="shared" si="3"/>
        <v>104.99765072598296</v>
      </c>
      <c r="K15" s="184"/>
      <c r="L15" s="34"/>
      <c r="M15" s="34"/>
      <c r="N15" s="34"/>
      <c r="P15" s="109"/>
      <c r="Q15" s="109"/>
      <c r="R15" s="109"/>
    </row>
    <row r="16" spans="1:18" ht="26.25" customHeight="1">
      <c r="A16" s="75" t="s">
        <v>226</v>
      </c>
      <c r="B16" s="76" t="s">
        <v>3</v>
      </c>
      <c r="C16" s="127">
        <v>1013</v>
      </c>
      <c r="D16" s="33">
        <f>3768.7-554</f>
        <v>3214.7</v>
      </c>
      <c r="E16" s="33">
        <v>7528.7</v>
      </c>
      <c r="F16" s="33">
        <f>7768.6-7.5</f>
        <v>7761.1</v>
      </c>
      <c r="G16" s="188">
        <f t="shared" si="2"/>
        <v>232.40000000000055</v>
      </c>
      <c r="H16" s="188">
        <f t="shared" si="3"/>
        <v>103.08685430419595</v>
      </c>
      <c r="K16" s="184">
        <v>1020</v>
      </c>
      <c r="L16" s="185">
        <f>SUM(D29,D93,D140,D174,D222,D251,D282,D344,D370,D400,D422)</f>
        <v>4430.7</v>
      </c>
      <c r="M16" s="185">
        <f t="shared" ref="M16:N16" si="8">SUM(E29,E93,E140,E174,E222,E251,E282,E344,E370,E400,E422)</f>
        <v>3360.5</v>
      </c>
      <c r="N16" s="185">
        <f t="shared" si="8"/>
        <v>4308.8999999999996</v>
      </c>
      <c r="P16" s="109"/>
      <c r="Q16" s="109"/>
      <c r="R16" s="109"/>
    </row>
    <row r="17" spans="1:18" ht="26.25" customHeight="1">
      <c r="A17" s="75" t="s">
        <v>227</v>
      </c>
      <c r="B17" s="76" t="s">
        <v>4</v>
      </c>
      <c r="C17" s="127">
        <v>1014</v>
      </c>
      <c r="D17" s="33">
        <v>4.2</v>
      </c>
      <c r="E17" s="33"/>
      <c r="F17" s="33">
        <f>5.8+5.3</f>
        <v>11.1</v>
      </c>
      <c r="G17" s="188">
        <f t="shared" si="2"/>
        <v>11.1</v>
      </c>
      <c r="H17" s="188"/>
      <c r="K17" s="184">
        <v>1021</v>
      </c>
      <c r="L17" s="34">
        <f>SUM(D30,D94,D141,D175,D223,D252,D371,)</f>
        <v>143.1</v>
      </c>
      <c r="M17" s="34">
        <f t="shared" ref="M17:N17" si="9">SUM(E30,E94,E141,E175,E223,E252,E371,)</f>
        <v>35.5</v>
      </c>
      <c r="N17" s="34">
        <f t="shared" si="9"/>
        <v>64.800000000000011</v>
      </c>
      <c r="P17" s="109"/>
      <c r="Q17" s="109"/>
      <c r="R17" s="109"/>
    </row>
    <row r="18" spans="1:18" ht="26.25" customHeight="1">
      <c r="A18" s="75" t="s">
        <v>401</v>
      </c>
      <c r="B18" s="76" t="s">
        <v>97</v>
      </c>
      <c r="C18" s="127">
        <v>1015</v>
      </c>
      <c r="D18" s="33">
        <f>SUM(D19:D28)</f>
        <v>165.7</v>
      </c>
      <c r="E18" s="33">
        <f>SUM(E19:E28)</f>
        <v>548.69999999999993</v>
      </c>
      <c r="F18" s="33">
        <f>SUM(F19:F28)</f>
        <v>715.4</v>
      </c>
      <c r="G18" s="188">
        <f t="shared" si="2"/>
        <v>166.70000000000005</v>
      </c>
      <c r="H18" s="188">
        <f t="shared" si="3"/>
        <v>130.38090030982323</v>
      </c>
      <c r="K18" s="184">
        <v>1022</v>
      </c>
      <c r="L18" s="34">
        <f>SUM(D32,D227,)</f>
        <v>3186.9</v>
      </c>
      <c r="M18" s="34">
        <f t="shared" ref="M18:N18" si="10">SUM(E32,E227,)</f>
        <v>2592.4</v>
      </c>
      <c r="N18" s="34">
        <f t="shared" si="10"/>
        <v>2967.7</v>
      </c>
      <c r="P18" s="109"/>
      <c r="Q18" s="109"/>
      <c r="R18" s="109"/>
    </row>
    <row r="19" spans="1:18" ht="26.25" customHeight="1">
      <c r="A19" s="75"/>
      <c r="B19" s="62" t="s">
        <v>142</v>
      </c>
      <c r="C19" s="61"/>
      <c r="D19" s="30">
        <v>22.4</v>
      </c>
      <c r="E19" s="30">
        <v>28.9</v>
      </c>
      <c r="F19" s="30">
        <v>16.600000000000001</v>
      </c>
      <c r="G19" s="93">
        <f t="shared" si="2"/>
        <v>-12.299999999999997</v>
      </c>
      <c r="H19" s="93">
        <f t="shared" si="3"/>
        <v>57.439446366782008</v>
      </c>
      <c r="K19" s="184">
        <v>1023</v>
      </c>
      <c r="L19" s="34">
        <f>SUM(D33,D228)</f>
        <v>668</v>
      </c>
      <c r="M19" s="34">
        <f t="shared" ref="M19:N19" si="11">SUM(E33,E228)</f>
        <v>571.9</v>
      </c>
      <c r="N19" s="34">
        <f t="shared" si="11"/>
        <v>659.6</v>
      </c>
      <c r="P19" s="109"/>
      <c r="Q19" s="109"/>
      <c r="R19" s="109"/>
    </row>
    <row r="20" spans="1:18" ht="26.25" customHeight="1">
      <c r="A20" s="75"/>
      <c r="B20" s="62" t="s">
        <v>217</v>
      </c>
      <c r="C20" s="61"/>
      <c r="D20" s="30">
        <v>0</v>
      </c>
      <c r="E20" s="30">
        <v>89.4</v>
      </c>
      <c r="F20" s="30">
        <v>164.1</v>
      </c>
      <c r="G20" s="93">
        <f t="shared" si="2"/>
        <v>74.699999999999989</v>
      </c>
      <c r="H20" s="93">
        <f t="shared" si="3"/>
        <v>183.55704697986573</v>
      </c>
      <c r="K20" s="184">
        <v>1024</v>
      </c>
      <c r="L20" s="34">
        <f>SUM(D423,D178)</f>
        <v>72.3</v>
      </c>
      <c r="M20" s="34">
        <f t="shared" ref="M20:N20" si="12">SUM(E423,E178)</f>
        <v>0</v>
      </c>
      <c r="N20" s="34">
        <f t="shared" si="12"/>
        <v>406.4</v>
      </c>
      <c r="O20" s="34"/>
      <c r="P20" s="109"/>
      <c r="Q20" s="109"/>
      <c r="R20" s="109"/>
    </row>
    <row r="21" spans="1:18" ht="26.25" customHeight="1">
      <c r="A21" s="75"/>
      <c r="B21" s="62" t="s">
        <v>218</v>
      </c>
      <c r="C21" s="61"/>
      <c r="D21" s="30"/>
      <c r="E21" s="30">
        <v>23.7</v>
      </c>
      <c r="F21" s="30">
        <v>31.9</v>
      </c>
      <c r="G21" s="93">
        <f t="shared" si="2"/>
        <v>8.1999999999999993</v>
      </c>
      <c r="H21" s="93">
        <f t="shared" si="3"/>
        <v>134.59915611814347</v>
      </c>
      <c r="K21" s="184">
        <v>1025</v>
      </c>
      <c r="L21" s="34">
        <f>SUM(D34,D99,D143,D179,D229,D283,D345,D377,D401,)</f>
        <v>360.40000000000003</v>
      </c>
      <c r="M21" s="34">
        <f t="shared" ref="M21:N21" si="13">SUM(E34,E99,E143,E179,E229,E283,E345,E377,E401,)</f>
        <v>160.69999999999999</v>
      </c>
      <c r="N21" s="34">
        <f t="shared" si="13"/>
        <v>210.39999999999998</v>
      </c>
      <c r="O21" s="101"/>
      <c r="P21" s="108"/>
      <c r="Q21" s="108"/>
      <c r="R21" s="108"/>
    </row>
    <row r="22" spans="1:18" ht="26.25" customHeight="1">
      <c r="A22" s="75"/>
      <c r="B22" s="62" t="s">
        <v>219</v>
      </c>
      <c r="C22" s="61"/>
      <c r="D22" s="30"/>
      <c r="E22" s="30">
        <v>13.5</v>
      </c>
      <c r="F22" s="30">
        <v>24.4</v>
      </c>
      <c r="G22" s="93">
        <f t="shared" si="2"/>
        <v>10.899999999999999</v>
      </c>
      <c r="H22" s="93">
        <f t="shared" si="3"/>
        <v>180.74074074074073</v>
      </c>
      <c r="K22" s="184"/>
      <c r="L22" s="34"/>
      <c r="M22" s="34"/>
      <c r="N22" s="34"/>
      <c r="P22" s="109"/>
      <c r="Q22" s="109"/>
      <c r="R22" s="109"/>
    </row>
    <row r="23" spans="1:18" ht="26.25" customHeight="1">
      <c r="A23" s="75"/>
      <c r="B23" s="62" t="s">
        <v>220</v>
      </c>
      <c r="C23" s="61"/>
      <c r="D23" s="30"/>
      <c r="E23" s="30">
        <v>146.9</v>
      </c>
      <c r="F23" s="30">
        <v>189.4</v>
      </c>
      <c r="G23" s="93">
        <f t="shared" si="2"/>
        <v>42.5</v>
      </c>
      <c r="H23" s="93">
        <f t="shared" si="3"/>
        <v>128.93124574540505</v>
      </c>
      <c r="K23" s="184">
        <v>1030</v>
      </c>
      <c r="L23" s="185">
        <f>SUM(D38,D110,D147,D192,D233,D288,D316,D324,D349,D405,D410,D414,)</f>
        <v>645.90000000000009</v>
      </c>
      <c r="M23" s="185">
        <f t="shared" ref="M23:N23" si="14">SUM(E38,E110,E147,E192,E233,E288,E316,E324,E349,E405,E410,E414,)</f>
        <v>312.70000000000005</v>
      </c>
      <c r="N23" s="185">
        <f t="shared" si="14"/>
        <v>475.1</v>
      </c>
      <c r="P23" s="109"/>
      <c r="Q23" s="109"/>
      <c r="R23" s="109"/>
    </row>
    <row r="24" spans="1:18" ht="26.25" customHeight="1">
      <c r="A24" s="75"/>
      <c r="B24" s="62" t="s">
        <v>221</v>
      </c>
      <c r="C24" s="61"/>
      <c r="D24" s="30"/>
      <c r="E24" s="30">
        <v>164</v>
      </c>
      <c r="F24" s="30">
        <f>228.8-18.6</f>
        <v>210.20000000000002</v>
      </c>
      <c r="G24" s="93">
        <f t="shared" si="2"/>
        <v>46.200000000000017</v>
      </c>
      <c r="H24" s="93">
        <f t="shared" si="3"/>
        <v>128.17073170731709</v>
      </c>
      <c r="K24" s="184">
        <v>1031</v>
      </c>
      <c r="L24" s="34">
        <f>SUM(D39,D111,D193,D234,D289,)</f>
        <v>252.4</v>
      </c>
      <c r="M24" s="34">
        <f t="shared" ref="M24:N24" si="15">SUM(E39,E111,E193,E234,E289,)</f>
        <v>0</v>
      </c>
      <c r="N24" s="34">
        <f t="shared" si="15"/>
        <v>0</v>
      </c>
      <c r="P24" s="109"/>
      <c r="Q24" s="109"/>
      <c r="R24" s="109"/>
    </row>
    <row r="25" spans="1:18" ht="26.25" customHeight="1">
      <c r="A25" s="75"/>
      <c r="B25" s="62" t="s">
        <v>448</v>
      </c>
      <c r="C25" s="61"/>
      <c r="D25" s="30">
        <v>27.2</v>
      </c>
      <c r="E25" s="30">
        <v>17.2</v>
      </c>
      <c r="F25" s="30">
        <v>40.299999999999997</v>
      </c>
      <c r="G25" s="93">
        <f t="shared" si="2"/>
        <v>23.099999999999998</v>
      </c>
      <c r="H25" s="93">
        <f t="shared" si="3"/>
        <v>234.30232558139531</v>
      </c>
      <c r="K25" s="184">
        <v>1032</v>
      </c>
      <c r="L25" s="34">
        <f>SUM(D41,D239,)</f>
        <v>193.6</v>
      </c>
      <c r="M25" s="34">
        <f t="shared" ref="M25:N25" si="16">SUM(E41,E239,)</f>
        <v>63</v>
      </c>
      <c r="N25" s="34">
        <f t="shared" si="16"/>
        <v>246.7</v>
      </c>
      <c r="O25" s="34"/>
      <c r="P25" s="34"/>
      <c r="Q25" s="34"/>
      <c r="R25" s="34"/>
    </row>
    <row r="26" spans="1:18" ht="26.25" customHeight="1">
      <c r="A26" s="75"/>
      <c r="B26" s="62" t="s">
        <v>222</v>
      </c>
      <c r="C26" s="61"/>
      <c r="D26" s="30"/>
      <c r="E26" s="30">
        <v>59.1</v>
      </c>
      <c r="F26" s="30">
        <v>23.5</v>
      </c>
      <c r="G26" s="93">
        <f t="shared" si="2"/>
        <v>-35.6</v>
      </c>
      <c r="H26" s="93">
        <f t="shared" si="3"/>
        <v>39.763113367174277</v>
      </c>
      <c r="K26" s="184">
        <v>1033</v>
      </c>
      <c r="L26" s="34">
        <f>SUM(D42,D240)</f>
        <v>42.8</v>
      </c>
      <c r="M26" s="34">
        <f t="shared" ref="M26:N26" si="17">SUM(E42,E240)</f>
        <v>48.4</v>
      </c>
      <c r="N26" s="34">
        <f t="shared" si="17"/>
        <v>95.2</v>
      </c>
      <c r="P26" s="109"/>
      <c r="Q26" s="109"/>
      <c r="R26" s="109"/>
    </row>
    <row r="27" spans="1:18" ht="41.25" customHeight="1">
      <c r="A27" s="75"/>
      <c r="B27" s="62" t="s">
        <v>144</v>
      </c>
      <c r="C27" s="61"/>
      <c r="D27" s="30">
        <v>111</v>
      </c>
      <c r="E27" s="30"/>
      <c r="F27" s="30"/>
      <c r="G27" s="93">
        <f t="shared" si="2"/>
        <v>0</v>
      </c>
      <c r="H27" s="93"/>
      <c r="K27" s="184">
        <v>1034</v>
      </c>
      <c r="L27" s="34">
        <f>SUM(D148)</f>
        <v>2.7</v>
      </c>
      <c r="M27" s="34">
        <f t="shared" ref="M27:N27" si="18">SUM(E148)</f>
        <v>0</v>
      </c>
      <c r="N27" s="34">
        <f t="shared" si="18"/>
        <v>0</v>
      </c>
      <c r="O27" s="101"/>
      <c r="P27" s="108"/>
      <c r="Q27" s="108"/>
      <c r="R27" s="108"/>
    </row>
    <row r="28" spans="1:18" ht="26.25" customHeight="1">
      <c r="A28" s="74"/>
      <c r="B28" s="62" t="s">
        <v>145</v>
      </c>
      <c r="C28" s="61"/>
      <c r="D28" s="30">
        <v>5.0999999999999996</v>
      </c>
      <c r="E28" s="30">
        <v>6</v>
      </c>
      <c r="F28" s="30">
        <v>15</v>
      </c>
      <c r="G28" s="93">
        <f>F28-E28</f>
        <v>9</v>
      </c>
      <c r="H28" s="93">
        <f>(F28/E28)*100</f>
        <v>250</v>
      </c>
      <c r="K28" s="184">
        <v>1035</v>
      </c>
      <c r="L28" s="34">
        <f>SUM(D43,D114,D149,D197,D241,D291,D317,D325,D350,D406,D415,D411)</f>
        <v>154.4</v>
      </c>
      <c r="M28" s="34">
        <f t="shared" ref="M28:N28" si="19">SUM(E43,E114,E149,E197,E241,E291,E317,E325,E350,E406,E415,E411)</f>
        <v>201.29999999999998</v>
      </c>
      <c r="N28" s="34">
        <f t="shared" si="19"/>
        <v>133.19999999999999</v>
      </c>
      <c r="P28" s="109"/>
      <c r="Q28" s="109"/>
      <c r="R28" s="109"/>
    </row>
    <row r="29" spans="1:18" ht="26.25" customHeight="1">
      <c r="A29" s="98" t="s">
        <v>87</v>
      </c>
      <c r="B29" s="189" t="s">
        <v>91</v>
      </c>
      <c r="C29" s="94">
        <v>1020</v>
      </c>
      <c r="D29" s="156">
        <f>D30+D34+D32+D33</f>
        <v>2663.3</v>
      </c>
      <c r="E29" s="156">
        <f>E30+E34+E32+E33</f>
        <v>3181.1000000000004</v>
      </c>
      <c r="F29" s="156">
        <f>F30+F34+F32+F33</f>
        <v>3660.8999999999996</v>
      </c>
      <c r="G29" s="91">
        <f>F29-E29</f>
        <v>479.79999999999927</v>
      </c>
      <c r="H29" s="91">
        <f>(F29/E29)*100</f>
        <v>115.08283298230168</v>
      </c>
      <c r="K29" s="184"/>
      <c r="P29" s="109"/>
      <c r="Q29" s="109"/>
      <c r="R29" s="109"/>
    </row>
    <row r="30" spans="1:18" ht="26.25" customHeight="1">
      <c r="A30" s="75" t="s">
        <v>228</v>
      </c>
      <c r="B30" s="187" t="s">
        <v>108</v>
      </c>
      <c r="C30" s="129">
        <v>1021</v>
      </c>
      <c r="D30" s="33">
        <f>SUM(D31)</f>
        <v>0.7</v>
      </c>
      <c r="E30" s="33">
        <f>SUM(E31)</f>
        <v>0</v>
      </c>
      <c r="F30" s="33">
        <f>SUM(F31)</f>
        <v>0</v>
      </c>
      <c r="G30" s="188">
        <f t="shared" ref="G30:G37" si="20">F30-E30</f>
        <v>0</v>
      </c>
      <c r="H30" s="188"/>
      <c r="K30" s="184">
        <v>9000</v>
      </c>
      <c r="L30" s="210">
        <f>SUM(L10,L17,L24)</f>
        <v>7598.8999999999987</v>
      </c>
      <c r="M30" s="210">
        <f t="shared" ref="M30:N30" si="21">SUM(M10,M17,M24)</f>
        <v>7588.5</v>
      </c>
      <c r="N30" s="210">
        <f t="shared" si="21"/>
        <v>12330.199999999999</v>
      </c>
      <c r="P30" s="109"/>
      <c r="Q30" s="109"/>
      <c r="R30" s="109"/>
    </row>
    <row r="31" spans="1:18" ht="26.25" customHeight="1">
      <c r="A31" s="75"/>
      <c r="B31" s="63" t="s">
        <v>146</v>
      </c>
      <c r="C31" s="61"/>
      <c r="D31" s="33">
        <v>0.7</v>
      </c>
      <c r="E31" s="33"/>
      <c r="F31" s="33"/>
      <c r="G31" s="93">
        <f t="shared" si="20"/>
        <v>0</v>
      </c>
      <c r="H31" s="93"/>
      <c r="K31" s="184">
        <v>9010</v>
      </c>
      <c r="L31" s="210">
        <f>SUM(L11,L18,L25)</f>
        <v>31068.300000000003</v>
      </c>
      <c r="M31" s="210">
        <f t="shared" ref="M31:N31" si="22">SUM(M11,M18,M25)</f>
        <v>39593.100000000006</v>
      </c>
      <c r="N31" s="210">
        <f t="shared" si="22"/>
        <v>41886.699999999997</v>
      </c>
      <c r="P31" s="34"/>
      <c r="Q31" s="34"/>
      <c r="R31" s="34"/>
    </row>
    <row r="32" spans="1:18" ht="26.25" customHeight="1">
      <c r="A32" s="75" t="s">
        <v>402</v>
      </c>
      <c r="B32" s="76" t="s">
        <v>2</v>
      </c>
      <c r="C32" s="127">
        <v>1022</v>
      </c>
      <c r="D32" s="33">
        <v>2200.5</v>
      </c>
      <c r="E32" s="33">
        <f>2592.4</f>
        <v>2592.4</v>
      </c>
      <c r="F32" s="33">
        <f>1956.4+1011.3</f>
        <v>2967.7</v>
      </c>
      <c r="G32" s="188">
        <f t="shared" si="20"/>
        <v>375.29999999999973</v>
      </c>
      <c r="H32" s="188">
        <f t="shared" ref="H32:H37" si="23">(F32/E32)*100</f>
        <v>114.47693257213392</v>
      </c>
      <c r="K32" s="184">
        <v>9020</v>
      </c>
      <c r="L32" s="186">
        <f>SUM(L12,L19,L26)</f>
        <v>6651.9</v>
      </c>
      <c r="M32" s="186">
        <f t="shared" ref="M32:N32" si="24">SUM(M12,M19,M26)</f>
        <v>8570.7999999999993</v>
      </c>
      <c r="N32" s="186">
        <f t="shared" si="24"/>
        <v>8935.5000000000018</v>
      </c>
      <c r="P32" s="109"/>
      <c r="Q32" s="109"/>
      <c r="R32" s="109"/>
    </row>
    <row r="33" spans="1:18" ht="26.25" customHeight="1">
      <c r="A33" s="75" t="s">
        <v>468</v>
      </c>
      <c r="B33" s="76" t="s">
        <v>3</v>
      </c>
      <c r="C33" s="127">
        <v>1023</v>
      </c>
      <c r="D33" s="33">
        <v>440.3</v>
      </c>
      <c r="E33" s="33">
        <v>571.9</v>
      </c>
      <c r="F33" s="33">
        <f>433.7+225.9</f>
        <v>659.6</v>
      </c>
      <c r="G33" s="188">
        <f t="shared" si="20"/>
        <v>87.700000000000045</v>
      </c>
      <c r="H33" s="188">
        <f t="shared" si="23"/>
        <v>115.33484874978144</v>
      </c>
      <c r="K33" s="184">
        <v>9030</v>
      </c>
      <c r="L33" s="186">
        <f>SUM(L13,L20,L27)</f>
        <v>1043.3</v>
      </c>
      <c r="M33" s="186">
        <f t="shared" ref="M33:N33" si="25">SUM(M13,M20,M27)</f>
        <v>0</v>
      </c>
      <c r="N33" s="186">
        <f t="shared" si="25"/>
        <v>1694.5</v>
      </c>
    </row>
    <row r="34" spans="1:18" ht="26.25" customHeight="1">
      <c r="A34" s="75" t="s">
        <v>469</v>
      </c>
      <c r="B34" s="195" t="s">
        <v>147</v>
      </c>
      <c r="C34" s="127">
        <v>1025</v>
      </c>
      <c r="D34" s="33">
        <f>SUM(D35:D37)</f>
        <v>21.799999999999997</v>
      </c>
      <c r="E34" s="33">
        <f>SUM(E35:E37)</f>
        <v>16.8</v>
      </c>
      <c r="F34" s="33">
        <f>SUM(F35:F37)</f>
        <v>33.6</v>
      </c>
      <c r="G34" s="188">
        <f t="shared" si="20"/>
        <v>16.8</v>
      </c>
      <c r="H34" s="188">
        <f t="shared" si="23"/>
        <v>200</v>
      </c>
      <c r="K34" s="184">
        <v>9040</v>
      </c>
      <c r="L34" s="210">
        <f>SUM(L14,L21,L28)</f>
        <v>4111.2</v>
      </c>
      <c r="M34" s="210">
        <f t="shared" ref="M34:N34" si="26">SUM(M14,M21,M28)</f>
        <v>4388.4000000000005</v>
      </c>
      <c r="N34" s="210">
        <f t="shared" si="26"/>
        <v>5078.2</v>
      </c>
      <c r="O34" s="110"/>
      <c r="P34" s="109"/>
      <c r="Q34" s="109"/>
      <c r="R34" s="109"/>
    </row>
    <row r="35" spans="1:18" ht="26.25" customHeight="1">
      <c r="A35" s="75"/>
      <c r="B35" s="62" t="s">
        <v>145</v>
      </c>
      <c r="C35" s="65"/>
      <c r="D35" s="30">
        <v>5.5</v>
      </c>
      <c r="E35" s="30">
        <v>2.9</v>
      </c>
      <c r="F35" s="30">
        <v>5.7</v>
      </c>
      <c r="G35" s="93">
        <f t="shared" si="20"/>
        <v>2.8000000000000003</v>
      </c>
      <c r="H35" s="93">
        <f t="shared" si="23"/>
        <v>196.55172413793105</v>
      </c>
      <c r="K35" s="184">
        <v>9050</v>
      </c>
      <c r="L35" s="185">
        <f>SUM(L30:L34)</f>
        <v>50473.600000000006</v>
      </c>
      <c r="M35" s="185">
        <f t="shared" ref="M35:N35" si="27">SUM(M30:M34)</f>
        <v>60140.80000000001</v>
      </c>
      <c r="N35" s="185">
        <f t="shared" si="27"/>
        <v>69925.099999999991</v>
      </c>
      <c r="O35" s="110"/>
      <c r="P35" s="109"/>
      <c r="Q35" s="109"/>
      <c r="R35" s="109"/>
    </row>
    <row r="36" spans="1:18" ht="39.75" customHeight="1">
      <c r="A36" s="75"/>
      <c r="B36" s="62" t="s">
        <v>223</v>
      </c>
      <c r="C36" s="65"/>
      <c r="D36" s="30">
        <v>14.4</v>
      </c>
      <c r="E36" s="30">
        <v>12.7</v>
      </c>
      <c r="F36" s="30">
        <v>26</v>
      </c>
      <c r="G36" s="93">
        <f t="shared" si="20"/>
        <v>13.3</v>
      </c>
      <c r="H36" s="93">
        <f t="shared" si="23"/>
        <v>204.7244094488189</v>
      </c>
      <c r="O36" s="110"/>
      <c r="P36" s="109"/>
      <c r="Q36" s="109"/>
      <c r="R36" s="109"/>
    </row>
    <row r="37" spans="1:18" ht="25.5" customHeight="1">
      <c r="A37" s="75"/>
      <c r="B37" s="62" t="s">
        <v>148</v>
      </c>
      <c r="C37" s="61"/>
      <c r="D37" s="33">
        <v>1.9</v>
      </c>
      <c r="E37" s="33">
        <v>1.2</v>
      </c>
      <c r="F37" s="33">
        <v>1.9</v>
      </c>
      <c r="G37" s="93">
        <f t="shared" si="20"/>
        <v>0.7</v>
      </c>
      <c r="H37" s="93">
        <f t="shared" si="23"/>
        <v>158.33333333333331</v>
      </c>
      <c r="O37" s="110"/>
      <c r="P37" s="109"/>
      <c r="Q37" s="109"/>
      <c r="R37" s="109"/>
    </row>
    <row r="38" spans="1:18" ht="26.25" customHeight="1">
      <c r="A38" s="98" t="s">
        <v>90</v>
      </c>
      <c r="B38" s="196" t="s">
        <v>92</v>
      </c>
      <c r="C38" s="94">
        <v>1030</v>
      </c>
      <c r="D38" s="156">
        <f>D39+D43+D41+D42</f>
        <v>192.99999999999997</v>
      </c>
      <c r="E38" s="156">
        <f>E39+E43+E41+E42</f>
        <v>111.4</v>
      </c>
      <c r="F38" s="156">
        <f>F39+F41+F42+F43</f>
        <v>341.9</v>
      </c>
      <c r="G38" s="91">
        <f>F38-E38</f>
        <v>230.49999999999997</v>
      </c>
      <c r="H38" s="91">
        <f>(F38/E38)*100</f>
        <v>306.91202872531414</v>
      </c>
      <c r="O38" s="111"/>
      <c r="P38" s="109"/>
      <c r="Q38" s="109"/>
      <c r="R38" s="109"/>
    </row>
    <row r="39" spans="1:18" ht="26.25" customHeight="1">
      <c r="A39" s="75" t="s">
        <v>229</v>
      </c>
      <c r="B39" s="187" t="s">
        <v>108</v>
      </c>
      <c r="C39" s="77">
        <v>1031</v>
      </c>
      <c r="D39" s="33">
        <f>SUM(D40)</f>
        <v>0.7</v>
      </c>
      <c r="E39" s="33"/>
      <c r="F39" s="33">
        <f>F40</f>
        <v>0</v>
      </c>
      <c r="G39" s="188">
        <f t="shared" ref="G39:G44" si="28">F39-E39</f>
        <v>0</v>
      </c>
      <c r="H39" s="188"/>
      <c r="O39" s="111"/>
      <c r="P39" s="112"/>
      <c r="Q39" s="112"/>
      <c r="R39" s="112"/>
    </row>
    <row r="40" spans="1:18" ht="26.25" customHeight="1">
      <c r="A40" s="75"/>
      <c r="B40" s="62" t="s">
        <v>149</v>
      </c>
      <c r="C40" s="61"/>
      <c r="D40" s="30">
        <v>0.7</v>
      </c>
      <c r="E40" s="33"/>
      <c r="F40" s="33"/>
      <c r="G40" s="93">
        <f t="shared" si="28"/>
        <v>0</v>
      </c>
      <c r="H40" s="93"/>
    </row>
    <row r="41" spans="1:18" ht="26.25" customHeight="1">
      <c r="A41" s="75" t="s">
        <v>230</v>
      </c>
      <c r="B41" s="76" t="s">
        <v>2</v>
      </c>
      <c r="C41" s="127">
        <v>1032</v>
      </c>
      <c r="D41" s="33">
        <v>134.19999999999999</v>
      </c>
      <c r="E41" s="33">
        <v>63</v>
      </c>
      <c r="F41" s="33">
        <v>246.7</v>
      </c>
      <c r="G41" s="188">
        <f t="shared" si="28"/>
        <v>183.7</v>
      </c>
      <c r="H41" s="188">
        <f t="shared" ref="H41:H42" si="29">(F41/E41)*100</f>
        <v>391.58730158730157</v>
      </c>
    </row>
    <row r="42" spans="1:18" ht="26.25" customHeight="1">
      <c r="A42" s="75" t="s">
        <v>403</v>
      </c>
      <c r="B42" s="76" t="s">
        <v>3</v>
      </c>
      <c r="C42" s="127">
        <v>1033</v>
      </c>
      <c r="D42" s="33">
        <v>29.7</v>
      </c>
      <c r="E42" s="33">
        <v>48.4</v>
      </c>
      <c r="F42" s="33">
        <v>95.2</v>
      </c>
      <c r="G42" s="188">
        <f t="shared" si="28"/>
        <v>46.800000000000004</v>
      </c>
      <c r="H42" s="188">
        <f t="shared" si="29"/>
        <v>196.69421487603307</v>
      </c>
    </row>
    <row r="43" spans="1:18" ht="26.25" customHeight="1">
      <c r="A43" s="75" t="s">
        <v>470</v>
      </c>
      <c r="B43" s="78" t="s">
        <v>92</v>
      </c>
      <c r="C43" s="127">
        <v>1035</v>
      </c>
      <c r="D43" s="33">
        <f>D44</f>
        <v>28.4</v>
      </c>
      <c r="E43" s="33">
        <f>E44</f>
        <v>0</v>
      </c>
      <c r="F43" s="33">
        <f>F44</f>
        <v>0</v>
      </c>
      <c r="G43" s="188">
        <f t="shared" si="28"/>
        <v>0</v>
      </c>
      <c r="H43" s="188"/>
    </row>
    <row r="44" spans="1:18" ht="26.25" customHeight="1">
      <c r="A44" s="75"/>
      <c r="B44" s="63" t="s">
        <v>150</v>
      </c>
      <c r="C44" s="61"/>
      <c r="D44" s="30">
        <v>28.4</v>
      </c>
      <c r="E44" s="33"/>
      <c r="F44" s="33"/>
      <c r="G44" s="93">
        <f t="shared" si="28"/>
        <v>0</v>
      </c>
      <c r="H44" s="93"/>
    </row>
    <row r="45" spans="1:18" ht="36" customHeight="1">
      <c r="A45" s="89" t="s">
        <v>93</v>
      </c>
      <c r="B45" s="90" t="s">
        <v>537</v>
      </c>
      <c r="C45" s="89"/>
      <c r="D45" s="29">
        <v>3070</v>
      </c>
      <c r="E45" s="33"/>
      <c r="F45" s="33"/>
      <c r="G45" s="93"/>
      <c r="H45" s="93"/>
    </row>
    <row r="46" spans="1:18" ht="26.25" customHeight="1">
      <c r="A46" s="67"/>
      <c r="B46" s="64" t="s">
        <v>85</v>
      </c>
      <c r="C46" s="68"/>
      <c r="D46" s="33"/>
      <c r="E46" s="33"/>
      <c r="F46" s="33"/>
      <c r="G46" s="93"/>
      <c r="H46" s="93"/>
    </row>
    <row r="47" spans="1:18" ht="26.25" customHeight="1">
      <c r="A47" s="98" t="s">
        <v>94</v>
      </c>
      <c r="B47" s="190" t="s">
        <v>89</v>
      </c>
      <c r="C47" s="94">
        <v>1010</v>
      </c>
      <c r="D47" s="156">
        <f>D48+D49</f>
        <v>3070</v>
      </c>
      <c r="E47" s="33"/>
      <c r="F47" s="33"/>
      <c r="G47" s="93"/>
      <c r="H47" s="93"/>
    </row>
    <row r="48" spans="1:18" ht="26.25" customHeight="1">
      <c r="A48" s="75" t="s">
        <v>538</v>
      </c>
      <c r="B48" s="76" t="s">
        <v>2</v>
      </c>
      <c r="C48" s="127">
        <v>1012</v>
      </c>
      <c r="D48" s="33">
        <v>2516</v>
      </c>
      <c r="E48" s="33"/>
      <c r="F48" s="33"/>
      <c r="G48" s="93"/>
      <c r="H48" s="93"/>
    </row>
    <row r="49" spans="1:8" ht="26.25" customHeight="1">
      <c r="A49" s="75" t="s">
        <v>539</v>
      </c>
      <c r="B49" s="76" t="s">
        <v>3</v>
      </c>
      <c r="C49" s="127">
        <v>1013</v>
      </c>
      <c r="D49" s="33">
        <v>554</v>
      </c>
      <c r="E49" s="33"/>
      <c r="F49" s="33"/>
      <c r="G49" s="93"/>
      <c r="H49" s="93"/>
    </row>
    <row r="50" spans="1:8" ht="26.25" customHeight="1">
      <c r="A50" s="242" t="s">
        <v>104</v>
      </c>
      <c r="B50" s="243" t="s">
        <v>151</v>
      </c>
      <c r="C50" s="89"/>
      <c r="D50" s="29">
        <f>D52+D93+D110</f>
        <v>420.20000000000005</v>
      </c>
      <c r="E50" s="29">
        <f>E52+E93+E110</f>
        <v>825.50000000000011</v>
      </c>
      <c r="F50" s="29">
        <f>F52+F93+F110</f>
        <v>741.40000000000009</v>
      </c>
      <c r="G50" s="91">
        <f>F50-E50</f>
        <v>-84.100000000000023</v>
      </c>
      <c r="H50" s="91">
        <f>(F50/E50)*100</f>
        <v>89.812235009085413</v>
      </c>
    </row>
    <row r="51" spans="1:8" ht="26.25" customHeight="1">
      <c r="A51" s="67"/>
      <c r="B51" s="96" t="s">
        <v>85</v>
      </c>
      <c r="C51" s="68"/>
      <c r="D51" s="30"/>
      <c r="E51" s="30"/>
      <c r="F51" s="30"/>
      <c r="G51" s="91"/>
      <c r="H51" s="91"/>
    </row>
    <row r="52" spans="1:8" ht="26.25" customHeight="1">
      <c r="A52" s="98" t="s">
        <v>540</v>
      </c>
      <c r="B52" s="190" t="s">
        <v>89</v>
      </c>
      <c r="C52" s="94">
        <v>1010</v>
      </c>
      <c r="D52" s="156">
        <f>D53+D64</f>
        <v>291.60000000000002</v>
      </c>
      <c r="E52" s="156">
        <f>E53+E64</f>
        <v>669.90000000000009</v>
      </c>
      <c r="F52" s="156">
        <f>F53+F64+F63</f>
        <v>572.6</v>
      </c>
      <c r="G52" s="191">
        <f>F52-E52</f>
        <v>-97.300000000000068</v>
      </c>
      <c r="H52" s="191">
        <f>(F52/E52)*100</f>
        <v>85.475444096133742</v>
      </c>
    </row>
    <row r="53" spans="1:8" ht="26.25" customHeight="1">
      <c r="A53" s="75" t="s">
        <v>541</v>
      </c>
      <c r="B53" s="192" t="s">
        <v>79</v>
      </c>
      <c r="C53" s="65">
        <v>1011</v>
      </c>
      <c r="D53" s="33">
        <f>SUM(D54:D62)</f>
        <v>171.3</v>
      </c>
      <c r="E53" s="33">
        <f>SUM(E54:E62)</f>
        <v>352.5</v>
      </c>
      <c r="F53" s="33">
        <f>SUM(F54:F62)</f>
        <v>232.29999999999998</v>
      </c>
      <c r="G53" s="188">
        <f t="shared" ref="G53:G78" si="30">F53-E53</f>
        <v>-120.20000000000002</v>
      </c>
      <c r="H53" s="188">
        <f t="shared" ref="H53:H77" si="31">(F53/E53)*100</f>
        <v>65.900709219858157</v>
      </c>
    </row>
    <row r="54" spans="1:8" ht="24.75" customHeight="1">
      <c r="A54" s="75"/>
      <c r="B54" s="60" t="s">
        <v>140</v>
      </c>
      <c r="C54" s="66"/>
      <c r="D54" s="30">
        <v>19.7</v>
      </c>
      <c r="E54" s="30">
        <v>17.5</v>
      </c>
      <c r="F54" s="30">
        <f>98.6+16.8+0.2</f>
        <v>115.6</v>
      </c>
      <c r="G54" s="93">
        <f t="shared" si="30"/>
        <v>98.1</v>
      </c>
      <c r="H54" s="93">
        <f t="shared" si="31"/>
        <v>660.57142857142844</v>
      </c>
    </row>
    <row r="55" spans="1:8" ht="23.25" customHeight="1">
      <c r="A55" s="75"/>
      <c r="B55" s="63" t="s">
        <v>141</v>
      </c>
      <c r="C55" s="66"/>
      <c r="D55" s="30">
        <v>24.4</v>
      </c>
      <c r="E55" s="30">
        <v>75</v>
      </c>
      <c r="F55" s="30">
        <f>10.8</f>
        <v>10.8</v>
      </c>
      <c r="G55" s="93">
        <f t="shared" si="30"/>
        <v>-64.2</v>
      </c>
      <c r="H55" s="93">
        <f t="shared" si="31"/>
        <v>14.400000000000002</v>
      </c>
    </row>
    <row r="56" spans="1:8" ht="23.25" customHeight="1">
      <c r="A56" s="75"/>
      <c r="B56" s="63" t="s">
        <v>446</v>
      </c>
      <c r="C56" s="66"/>
      <c r="D56" s="30"/>
      <c r="E56" s="30"/>
      <c r="F56" s="30">
        <v>9.3000000000000007</v>
      </c>
      <c r="G56" s="93">
        <f t="shared" si="30"/>
        <v>9.3000000000000007</v>
      </c>
      <c r="H56" s="93"/>
    </row>
    <row r="57" spans="1:8" ht="24.75" customHeight="1">
      <c r="A57" s="75"/>
      <c r="B57" s="62" t="s">
        <v>153</v>
      </c>
      <c r="C57" s="66"/>
      <c r="D57" s="30">
        <v>18.2</v>
      </c>
      <c r="E57" s="30">
        <v>4.3</v>
      </c>
      <c r="F57" s="30">
        <f>2.9+3.3</f>
        <v>6.1999999999999993</v>
      </c>
      <c r="G57" s="93">
        <f t="shared" si="30"/>
        <v>1.8999999999999995</v>
      </c>
      <c r="H57" s="93">
        <f t="shared" si="31"/>
        <v>144.18604651162789</v>
      </c>
    </row>
    <row r="58" spans="1:8" ht="37.5" customHeight="1">
      <c r="A58" s="75"/>
      <c r="B58" s="219" t="s">
        <v>152</v>
      </c>
      <c r="C58" s="66"/>
      <c r="D58" s="30">
        <v>109</v>
      </c>
      <c r="E58" s="30">
        <v>22.2</v>
      </c>
      <c r="F58" s="30">
        <f>77+54.5-15.8-11.1+7.7-39.5</f>
        <v>72.800000000000011</v>
      </c>
      <c r="G58" s="93">
        <f t="shared" si="30"/>
        <v>50.600000000000009</v>
      </c>
      <c r="H58" s="93">
        <f t="shared" si="31"/>
        <v>327.92792792792801</v>
      </c>
    </row>
    <row r="59" spans="1:8" ht="36" customHeight="1">
      <c r="A59" s="75"/>
      <c r="B59" s="62" t="s">
        <v>404</v>
      </c>
      <c r="C59" s="66"/>
      <c r="D59" s="30"/>
      <c r="E59" s="30">
        <v>38.200000000000003</v>
      </c>
      <c r="F59" s="30">
        <f>17.6</f>
        <v>17.600000000000001</v>
      </c>
      <c r="G59" s="93">
        <f t="shared" si="30"/>
        <v>-20.6</v>
      </c>
      <c r="H59" s="93">
        <f t="shared" si="31"/>
        <v>46.073298429319372</v>
      </c>
    </row>
    <row r="60" spans="1:8" ht="23.25" customHeight="1">
      <c r="A60" s="75"/>
      <c r="B60" s="219" t="s">
        <v>373</v>
      </c>
      <c r="C60" s="66"/>
      <c r="D60" s="30"/>
      <c r="E60" s="30">
        <v>78.7</v>
      </c>
      <c r="F60" s="30"/>
      <c r="G60" s="93">
        <f t="shared" si="30"/>
        <v>-78.7</v>
      </c>
      <c r="H60" s="93">
        <f t="shared" si="31"/>
        <v>0</v>
      </c>
    </row>
    <row r="61" spans="1:8" ht="26.25" customHeight="1">
      <c r="A61" s="75"/>
      <c r="B61" s="219" t="s">
        <v>374</v>
      </c>
      <c r="C61" s="66"/>
      <c r="D61" s="30"/>
      <c r="E61" s="30">
        <v>81</v>
      </c>
      <c r="F61" s="30"/>
      <c r="G61" s="93">
        <f t="shared" si="30"/>
        <v>-81</v>
      </c>
      <c r="H61" s="93">
        <f t="shared" si="31"/>
        <v>0</v>
      </c>
    </row>
    <row r="62" spans="1:8" ht="17.25" customHeight="1">
      <c r="A62" s="75"/>
      <c r="B62" s="219" t="s">
        <v>375</v>
      </c>
      <c r="C62" s="66"/>
      <c r="D62" s="30"/>
      <c r="E62" s="30">
        <v>35.6</v>
      </c>
      <c r="F62" s="30"/>
      <c r="G62" s="93">
        <f t="shared" si="30"/>
        <v>-35.6</v>
      </c>
      <c r="H62" s="93">
        <f t="shared" si="31"/>
        <v>0</v>
      </c>
    </row>
    <row r="63" spans="1:8" ht="26.25" customHeight="1">
      <c r="A63" s="75" t="s">
        <v>542</v>
      </c>
      <c r="B63" s="198" t="s">
        <v>4</v>
      </c>
      <c r="C63" s="77">
        <v>1014</v>
      </c>
      <c r="D63" s="33"/>
      <c r="E63" s="33"/>
      <c r="F63" s="33">
        <f>99.8+32.6</f>
        <v>132.4</v>
      </c>
      <c r="G63" s="188">
        <f t="shared" si="30"/>
        <v>132.4</v>
      </c>
      <c r="H63" s="188"/>
    </row>
    <row r="64" spans="1:8" ht="26.25" customHeight="1">
      <c r="A64" s="75" t="s">
        <v>471</v>
      </c>
      <c r="B64" s="198" t="s">
        <v>97</v>
      </c>
      <c r="C64" s="77">
        <v>1015</v>
      </c>
      <c r="D64" s="33">
        <f>SUM(D65:D92)</f>
        <v>120.30000000000001</v>
      </c>
      <c r="E64" s="33">
        <f>SUM(E65:E92)</f>
        <v>317.40000000000003</v>
      </c>
      <c r="F64" s="33">
        <f>SUM(F65:F92)</f>
        <v>207.9</v>
      </c>
      <c r="G64" s="188">
        <f t="shared" si="30"/>
        <v>-109.50000000000003</v>
      </c>
      <c r="H64" s="188">
        <f t="shared" si="31"/>
        <v>65.500945179584107</v>
      </c>
    </row>
    <row r="65" spans="1:8" ht="26.25" customHeight="1">
      <c r="A65" s="98"/>
      <c r="B65" s="219" t="s">
        <v>382</v>
      </c>
      <c r="C65" s="104"/>
      <c r="D65" s="30"/>
      <c r="E65" s="119">
        <v>24.8</v>
      </c>
      <c r="F65" s="30"/>
      <c r="G65" s="93">
        <f t="shared" si="30"/>
        <v>-24.8</v>
      </c>
      <c r="H65" s="93">
        <f t="shared" si="31"/>
        <v>0</v>
      </c>
    </row>
    <row r="66" spans="1:8" ht="26.25" customHeight="1">
      <c r="A66" s="98"/>
      <c r="B66" s="219" t="s">
        <v>217</v>
      </c>
      <c r="C66" s="104"/>
      <c r="D66" s="30"/>
      <c r="E66" s="119">
        <v>19</v>
      </c>
      <c r="F66" s="30"/>
      <c r="G66" s="93">
        <f t="shared" si="30"/>
        <v>-19</v>
      </c>
      <c r="H66" s="93">
        <f t="shared" si="31"/>
        <v>0</v>
      </c>
    </row>
    <row r="67" spans="1:8" ht="26.25" customHeight="1">
      <c r="A67" s="98"/>
      <c r="B67" s="219" t="s">
        <v>218</v>
      </c>
      <c r="C67" s="104"/>
      <c r="D67" s="30"/>
      <c r="E67" s="119">
        <v>16</v>
      </c>
      <c r="F67" s="30"/>
      <c r="G67" s="93">
        <f t="shared" si="30"/>
        <v>-16</v>
      </c>
      <c r="H67" s="93">
        <f t="shared" si="31"/>
        <v>0</v>
      </c>
    </row>
    <row r="68" spans="1:8" ht="26.25" customHeight="1">
      <c r="A68" s="98"/>
      <c r="B68" s="219" t="s">
        <v>219</v>
      </c>
      <c r="C68" s="104"/>
      <c r="D68" s="30"/>
      <c r="E68" s="119">
        <v>23.3</v>
      </c>
      <c r="F68" s="30"/>
      <c r="G68" s="93">
        <f t="shared" si="30"/>
        <v>-23.3</v>
      </c>
      <c r="H68" s="93">
        <f t="shared" si="31"/>
        <v>0</v>
      </c>
    </row>
    <row r="69" spans="1:8" ht="26.25" customHeight="1">
      <c r="A69" s="98"/>
      <c r="B69" s="219" t="s">
        <v>220</v>
      </c>
      <c r="C69" s="104"/>
      <c r="D69" s="30"/>
      <c r="E69" s="119">
        <v>52</v>
      </c>
      <c r="F69" s="30">
        <f>0.9+3.5</f>
        <v>4.4000000000000004</v>
      </c>
      <c r="G69" s="93">
        <f t="shared" si="30"/>
        <v>-47.6</v>
      </c>
      <c r="H69" s="93">
        <f t="shared" si="31"/>
        <v>8.4615384615384617</v>
      </c>
    </row>
    <row r="70" spans="1:8" ht="26.25" customHeight="1">
      <c r="A70" s="98"/>
      <c r="B70" s="70" t="s">
        <v>142</v>
      </c>
      <c r="C70" s="66"/>
      <c r="D70" s="30">
        <v>65.7</v>
      </c>
      <c r="E70" s="119"/>
      <c r="F70" s="30"/>
      <c r="G70" s="93">
        <f t="shared" si="30"/>
        <v>0</v>
      </c>
      <c r="H70" s="93"/>
    </row>
    <row r="71" spans="1:8" ht="26.25" customHeight="1">
      <c r="A71" s="98"/>
      <c r="B71" s="219" t="s">
        <v>145</v>
      </c>
      <c r="C71" s="104"/>
      <c r="D71" s="30"/>
      <c r="E71" s="119">
        <v>9.1999999999999993</v>
      </c>
      <c r="F71" s="30">
        <f>6.3+4.4+0.1</f>
        <v>10.799999999999999</v>
      </c>
      <c r="G71" s="93">
        <f t="shared" si="30"/>
        <v>1.5999999999999996</v>
      </c>
      <c r="H71" s="93">
        <f t="shared" si="31"/>
        <v>117.39130434782608</v>
      </c>
    </row>
    <row r="72" spans="1:8" ht="26.25" customHeight="1">
      <c r="A72" s="98"/>
      <c r="B72" s="219" t="s">
        <v>221</v>
      </c>
      <c r="C72" s="104"/>
      <c r="D72" s="30"/>
      <c r="E72" s="119">
        <v>22.4</v>
      </c>
      <c r="F72" s="30">
        <f>14.4+21.8</f>
        <v>36.200000000000003</v>
      </c>
      <c r="G72" s="93">
        <f t="shared" si="30"/>
        <v>13.800000000000004</v>
      </c>
      <c r="H72" s="93">
        <f t="shared" si="31"/>
        <v>161.60714285714289</v>
      </c>
    </row>
    <row r="73" spans="1:8" ht="26.25" customHeight="1">
      <c r="A73" s="98"/>
      <c r="B73" s="62" t="s">
        <v>360</v>
      </c>
      <c r="C73" s="66"/>
      <c r="D73" s="30"/>
      <c r="E73" s="119">
        <v>2.9</v>
      </c>
      <c r="F73" s="30">
        <f>10.9</f>
        <v>10.9</v>
      </c>
      <c r="G73" s="93">
        <f t="shared" si="30"/>
        <v>8</v>
      </c>
      <c r="H73" s="93">
        <f t="shared" si="31"/>
        <v>375.86206896551727</v>
      </c>
    </row>
    <row r="74" spans="1:8" ht="26.25" customHeight="1">
      <c r="A74" s="98"/>
      <c r="B74" s="62" t="s">
        <v>222</v>
      </c>
      <c r="C74" s="66"/>
      <c r="D74" s="30"/>
      <c r="E74" s="119"/>
      <c r="F74" s="30">
        <f>2.9+13.2+2.9</f>
        <v>18.999999999999996</v>
      </c>
      <c r="G74" s="93">
        <f t="shared" si="30"/>
        <v>18.999999999999996</v>
      </c>
      <c r="H74" s="93"/>
    </row>
    <row r="75" spans="1:8" ht="37.5" customHeight="1">
      <c r="A75" s="75"/>
      <c r="B75" s="62" t="s">
        <v>144</v>
      </c>
      <c r="C75" s="66"/>
      <c r="D75" s="30">
        <v>52.6</v>
      </c>
      <c r="E75" s="119"/>
      <c r="F75" s="30"/>
      <c r="G75" s="93">
        <f t="shared" si="30"/>
        <v>0</v>
      </c>
      <c r="H75" s="93"/>
    </row>
    <row r="76" spans="1:8" ht="26.25" customHeight="1">
      <c r="A76" s="75"/>
      <c r="B76" s="62" t="s">
        <v>378</v>
      </c>
      <c r="C76" s="66"/>
      <c r="D76" s="30"/>
      <c r="E76" s="119">
        <v>10.6</v>
      </c>
      <c r="F76" s="30"/>
      <c r="G76" s="93">
        <f t="shared" si="30"/>
        <v>-10.6</v>
      </c>
      <c r="H76" s="93">
        <f t="shared" si="31"/>
        <v>0</v>
      </c>
    </row>
    <row r="77" spans="1:8" ht="35.25" customHeight="1">
      <c r="A77" s="75"/>
      <c r="B77" s="62" t="s">
        <v>376</v>
      </c>
      <c r="C77" s="66"/>
      <c r="D77" s="30"/>
      <c r="E77" s="119">
        <v>2.5</v>
      </c>
      <c r="F77" s="30">
        <f>1.7+0.8</f>
        <v>2.5</v>
      </c>
      <c r="G77" s="93">
        <f t="shared" si="30"/>
        <v>0</v>
      </c>
      <c r="H77" s="93">
        <f t="shared" si="31"/>
        <v>100</v>
      </c>
    </row>
    <row r="78" spans="1:8" ht="35.25" customHeight="1">
      <c r="A78" s="75"/>
      <c r="B78" s="62" t="s">
        <v>358</v>
      </c>
      <c r="C78" s="66"/>
      <c r="D78" s="30"/>
      <c r="E78" s="119"/>
      <c r="F78" s="30">
        <f>48.2</f>
        <v>48.2</v>
      </c>
      <c r="G78" s="93">
        <f t="shared" si="30"/>
        <v>48.2</v>
      </c>
      <c r="H78" s="93"/>
    </row>
    <row r="79" spans="1:8" ht="26.25" customHeight="1">
      <c r="A79" s="74"/>
      <c r="B79" s="70" t="s">
        <v>423</v>
      </c>
      <c r="C79" s="66"/>
      <c r="D79" s="30">
        <v>0.4</v>
      </c>
      <c r="E79" s="119">
        <v>7</v>
      </c>
      <c r="F79" s="30">
        <v>6.6</v>
      </c>
      <c r="G79" s="93">
        <f>F79-E79</f>
        <v>-0.40000000000000036</v>
      </c>
      <c r="H79" s="93">
        <f>(F79/E79)*100</f>
        <v>94.285714285714278</v>
      </c>
    </row>
    <row r="80" spans="1:8" ht="26.25" customHeight="1">
      <c r="A80" s="74"/>
      <c r="B80" s="62" t="s">
        <v>377</v>
      </c>
      <c r="C80" s="66"/>
      <c r="D80" s="30"/>
      <c r="E80" s="119">
        <v>4.0999999999999996</v>
      </c>
      <c r="F80" s="30"/>
      <c r="G80" s="93">
        <f t="shared" ref="G80:G92" si="32">F80-E80</f>
        <v>-4.0999999999999996</v>
      </c>
      <c r="H80" s="93">
        <f t="shared" ref="H80:H92" si="33">(F80/E80)*100</f>
        <v>0</v>
      </c>
    </row>
    <row r="81" spans="1:8" ht="26.25" customHeight="1">
      <c r="A81" s="74"/>
      <c r="B81" s="69" t="s">
        <v>183</v>
      </c>
      <c r="C81" s="66"/>
      <c r="D81" s="30">
        <v>1.6</v>
      </c>
      <c r="E81" s="119"/>
      <c r="F81" s="30">
        <v>6.8</v>
      </c>
      <c r="G81" s="93">
        <f t="shared" si="32"/>
        <v>6.8</v>
      </c>
      <c r="H81" s="93"/>
    </row>
    <row r="82" spans="1:8" ht="26.25" customHeight="1">
      <c r="A82" s="74"/>
      <c r="B82" s="62" t="s">
        <v>405</v>
      </c>
      <c r="C82" s="66"/>
      <c r="D82" s="30"/>
      <c r="E82" s="119">
        <v>59.4</v>
      </c>
      <c r="F82" s="30">
        <f>18.8</f>
        <v>18.8</v>
      </c>
      <c r="G82" s="93">
        <f t="shared" si="32"/>
        <v>-40.599999999999994</v>
      </c>
      <c r="H82" s="93">
        <f t="shared" si="33"/>
        <v>31.649831649831651</v>
      </c>
    </row>
    <row r="83" spans="1:8" ht="26.25" customHeight="1">
      <c r="A83" s="74"/>
      <c r="B83" s="62" t="s">
        <v>379</v>
      </c>
      <c r="C83" s="66"/>
      <c r="D83" s="30"/>
      <c r="E83" s="119">
        <v>0.3</v>
      </c>
      <c r="F83" s="30">
        <f>0.3</f>
        <v>0.3</v>
      </c>
      <c r="G83" s="93">
        <f t="shared" si="32"/>
        <v>0</v>
      </c>
      <c r="H83" s="93">
        <f t="shared" si="33"/>
        <v>100</v>
      </c>
    </row>
    <row r="84" spans="1:8" ht="26.25" customHeight="1">
      <c r="A84" s="74"/>
      <c r="B84" s="62" t="s">
        <v>175</v>
      </c>
      <c r="C84" s="66"/>
      <c r="D84" s="30"/>
      <c r="E84" s="119">
        <v>6.8</v>
      </c>
      <c r="F84" s="30">
        <f>6.8+0.5</f>
        <v>7.3</v>
      </c>
      <c r="G84" s="93">
        <f t="shared" si="32"/>
        <v>0.5</v>
      </c>
      <c r="H84" s="93">
        <f t="shared" si="33"/>
        <v>107.35294117647058</v>
      </c>
    </row>
    <row r="85" spans="1:8" ht="26.25" customHeight="1">
      <c r="A85" s="74"/>
      <c r="B85" s="62" t="s">
        <v>173</v>
      </c>
      <c r="C85" s="66"/>
      <c r="D85" s="30"/>
      <c r="E85" s="119"/>
      <c r="F85" s="30">
        <f>0.9</f>
        <v>0.9</v>
      </c>
      <c r="G85" s="93">
        <f t="shared" si="32"/>
        <v>0.9</v>
      </c>
      <c r="H85" s="93"/>
    </row>
    <row r="86" spans="1:8" ht="26.25" customHeight="1">
      <c r="A86" s="74"/>
      <c r="B86" s="62" t="s">
        <v>174</v>
      </c>
      <c r="C86" s="66"/>
      <c r="D86" s="30"/>
      <c r="E86" s="119">
        <v>5</v>
      </c>
      <c r="F86" s="30">
        <f>5+4.2+10.7</f>
        <v>19.899999999999999</v>
      </c>
      <c r="G86" s="93">
        <f t="shared" si="32"/>
        <v>14.899999999999999</v>
      </c>
      <c r="H86" s="93">
        <f t="shared" si="33"/>
        <v>397.99999999999994</v>
      </c>
    </row>
    <row r="87" spans="1:8" ht="26.25" customHeight="1">
      <c r="A87" s="74"/>
      <c r="B87" s="62" t="s">
        <v>192</v>
      </c>
      <c r="C87" s="66"/>
      <c r="D87" s="30"/>
      <c r="E87" s="119">
        <v>0.6</v>
      </c>
      <c r="F87" s="30">
        <f>0.6+0.1</f>
        <v>0.7</v>
      </c>
      <c r="G87" s="93">
        <f t="shared" si="32"/>
        <v>9.9999999999999978E-2</v>
      </c>
      <c r="H87" s="93">
        <f t="shared" si="33"/>
        <v>116.66666666666667</v>
      </c>
    </row>
    <row r="88" spans="1:8" ht="26.25" customHeight="1">
      <c r="A88" s="74"/>
      <c r="B88" s="62" t="s">
        <v>406</v>
      </c>
      <c r="C88" s="66"/>
      <c r="D88" s="30"/>
      <c r="E88" s="119"/>
      <c r="F88" s="30">
        <f>2.6</f>
        <v>2.6</v>
      </c>
      <c r="G88" s="93">
        <f t="shared" si="32"/>
        <v>2.6</v>
      </c>
      <c r="H88" s="93"/>
    </row>
    <row r="89" spans="1:8" ht="26.25" customHeight="1">
      <c r="A89" s="74"/>
      <c r="B89" s="62" t="s">
        <v>381</v>
      </c>
      <c r="C89" s="66"/>
      <c r="D89" s="30"/>
      <c r="E89" s="119">
        <v>4</v>
      </c>
      <c r="F89" s="30">
        <v>4</v>
      </c>
      <c r="G89" s="93">
        <f t="shared" si="32"/>
        <v>0</v>
      </c>
      <c r="H89" s="93">
        <f t="shared" si="33"/>
        <v>100</v>
      </c>
    </row>
    <row r="90" spans="1:8" ht="26.25" customHeight="1">
      <c r="A90" s="74"/>
      <c r="B90" s="62" t="s">
        <v>157</v>
      </c>
      <c r="C90" s="66"/>
      <c r="D90" s="30"/>
      <c r="E90" s="119">
        <v>44.9</v>
      </c>
      <c r="F90" s="30">
        <f>3.7</f>
        <v>3.7</v>
      </c>
      <c r="G90" s="93">
        <f t="shared" si="32"/>
        <v>-41.199999999999996</v>
      </c>
      <c r="H90" s="93">
        <f t="shared" si="33"/>
        <v>8.2405345211581302</v>
      </c>
    </row>
    <row r="91" spans="1:8" ht="26.25" customHeight="1">
      <c r="A91" s="74"/>
      <c r="B91" s="62" t="s">
        <v>407</v>
      </c>
      <c r="C91" s="66"/>
      <c r="D91" s="30"/>
      <c r="E91" s="119"/>
      <c r="F91" s="30">
        <f>1.7</f>
        <v>1.7</v>
      </c>
      <c r="G91" s="93">
        <f t="shared" si="32"/>
        <v>1.7</v>
      </c>
      <c r="H91" s="93"/>
    </row>
    <row r="92" spans="1:8" ht="26.25" customHeight="1">
      <c r="A92" s="74"/>
      <c r="B92" s="62" t="s">
        <v>190</v>
      </c>
      <c r="C92" s="66"/>
      <c r="D92" s="30"/>
      <c r="E92" s="119">
        <v>2.6</v>
      </c>
      <c r="F92" s="30">
        <f>1.6+1</f>
        <v>2.6</v>
      </c>
      <c r="G92" s="93">
        <f t="shared" si="32"/>
        <v>0</v>
      </c>
      <c r="H92" s="93">
        <f t="shared" si="33"/>
        <v>100</v>
      </c>
    </row>
    <row r="93" spans="1:8" ht="26.25" customHeight="1">
      <c r="A93" s="98" t="s">
        <v>474</v>
      </c>
      <c r="B93" s="189" t="s">
        <v>91</v>
      </c>
      <c r="C93" s="94">
        <v>1020</v>
      </c>
      <c r="D93" s="156">
        <f>D94+D99</f>
        <v>13.7</v>
      </c>
      <c r="E93" s="156">
        <f>E94+E99</f>
        <v>72.2</v>
      </c>
      <c r="F93" s="156">
        <f>F94+F99</f>
        <v>85.300000000000011</v>
      </c>
      <c r="G93" s="191">
        <f>F93-E93</f>
        <v>13.100000000000009</v>
      </c>
      <c r="H93" s="191">
        <f>(F93/E93)*100</f>
        <v>118.14404432132966</v>
      </c>
    </row>
    <row r="94" spans="1:8" ht="26.25" customHeight="1">
      <c r="A94" s="75" t="s">
        <v>543</v>
      </c>
      <c r="B94" s="187" t="s">
        <v>108</v>
      </c>
      <c r="C94" s="77">
        <v>1021</v>
      </c>
      <c r="D94" s="33">
        <f>SUM(D95:D98)</f>
        <v>13.7</v>
      </c>
      <c r="E94" s="33">
        <f>SUM(E95:E98)</f>
        <v>35.5</v>
      </c>
      <c r="F94" s="33">
        <f>SUM(F95:F98)</f>
        <v>47.2</v>
      </c>
      <c r="G94" s="188">
        <f t="shared" ref="G94:G109" si="34">F94-E94</f>
        <v>11.700000000000003</v>
      </c>
      <c r="H94" s="188">
        <f t="shared" ref="H94:H109" si="35">(F94/E94)*100</f>
        <v>132.95774647887325</v>
      </c>
    </row>
    <row r="95" spans="1:8" ht="33.75" customHeight="1">
      <c r="A95" s="75"/>
      <c r="B95" s="62" t="s">
        <v>152</v>
      </c>
      <c r="C95" s="66"/>
      <c r="D95" s="30">
        <v>8</v>
      </c>
      <c r="E95" s="30">
        <v>24</v>
      </c>
      <c r="F95" s="30">
        <f>1+16.7+15.8</f>
        <v>33.5</v>
      </c>
      <c r="G95" s="93">
        <f t="shared" si="34"/>
        <v>9.5</v>
      </c>
      <c r="H95" s="93">
        <f t="shared" si="35"/>
        <v>139.58333333333331</v>
      </c>
    </row>
    <row r="96" spans="1:8" ht="33.75" customHeight="1">
      <c r="A96" s="75"/>
      <c r="B96" s="64" t="s">
        <v>387</v>
      </c>
      <c r="C96" s="66"/>
      <c r="D96" s="30"/>
      <c r="E96" s="30">
        <v>1.6</v>
      </c>
      <c r="F96" s="30">
        <v>5.7</v>
      </c>
      <c r="G96" s="93">
        <f t="shared" si="34"/>
        <v>4.0999999999999996</v>
      </c>
      <c r="H96" s="93">
        <f t="shared" si="35"/>
        <v>356.25</v>
      </c>
    </row>
    <row r="97" spans="1:8" ht="26.25" customHeight="1">
      <c r="A97" s="75"/>
      <c r="B97" s="70" t="s">
        <v>463</v>
      </c>
      <c r="C97" s="66"/>
      <c r="D97" s="30"/>
      <c r="E97" s="30">
        <v>9.9</v>
      </c>
      <c r="F97" s="30">
        <f>8</f>
        <v>8</v>
      </c>
      <c r="G97" s="93">
        <f t="shared" si="34"/>
        <v>-1.9000000000000004</v>
      </c>
      <c r="H97" s="93">
        <f t="shared" si="35"/>
        <v>80.808080808080803</v>
      </c>
    </row>
    <row r="98" spans="1:8" ht="26.25" customHeight="1">
      <c r="A98" s="75"/>
      <c r="B98" s="62" t="s">
        <v>155</v>
      </c>
      <c r="C98" s="66"/>
      <c r="D98" s="30">
        <v>5.7</v>
      </c>
      <c r="E98" s="30"/>
      <c r="F98" s="30"/>
      <c r="G98" s="93">
        <f t="shared" si="34"/>
        <v>0</v>
      </c>
      <c r="H98" s="93"/>
    </row>
    <row r="99" spans="1:8" ht="26.25" customHeight="1">
      <c r="A99" s="75" t="s">
        <v>472</v>
      </c>
      <c r="B99" s="195" t="s">
        <v>147</v>
      </c>
      <c r="C99" s="77">
        <v>1025</v>
      </c>
      <c r="D99" s="33">
        <f>SUM(D102:D104)</f>
        <v>0</v>
      </c>
      <c r="E99" s="33">
        <f>SUM(E101:E109)</f>
        <v>36.700000000000003</v>
      </c>
      <c r="F99" s="33">
        <f>SUM(F100:F109)</f>
        <v>38.1</v>
      </c>
      <c r="G99" s="188">
        <f t="shared" si="34"/>
        <v>1.3999999999999986</v>
      </c>
      <c r="H99" s="188">
        <f t="shared" si="35"/>
        <v>103.81471389645776</v>
      </c>
    </row>
    <row r="100" spans="1:8" ht="26.25" customHeight="1">
      <c r="A100" s="98"/>
      <c r="B100" s="60" t="s">
        <v>444</v>
      </c>
      <c r="C100" s="104"/>
      <c r="D100" s="30"/>
      <c r="E100" s="30"/>
      <c r="F100" s="30">
        <v>2.9</v>
      </c>
      <c r="G100" s="93">
        <f t="shared" si="34"/>
        <v>2.9</v>
      </c>
      <c r="H100" s="93"/>
    </row>
    <row r="101" spans="1:8" ht="26.25" customHeight="1">
      <c r="A101" s="98"/>
      <c r="B101" s="60" t="s">
        <v>384</v>
      </c>
      <c r="C101" s="104"/>
      <c r="D101" s="30"/>
      <c r="E101" s="30">
        <v>2</v>
      </c>
      <c r="F101" s="30">
        <f>1.9+0.9</f>
        <v>2.8</v>
      </c>
      <c r="G101" s="93">
        <f t="shared" si="34"/>
        <v>0.79999999999999982</v>
      </c>
      <c r="H101" s="93">
        <f t="shared" si="35"/>
        <v>140</v>
      </c>
    </row>
    <row r="102" spans="1:8" ht="26.25" customHeight="1">
      <c r="A102" s="75"/>
      <c r="B102" s="63" t="s">
        <v>393</v>
      </c>
      <c r="C102" s="66"/>
      <c r="D102" s="30"/>
      <c r="E102" s="30">
        <v>7.4</v>
      </c>
      <c r="F102" s="30">
        <f>16.9</f>
        <v>16.899999999999999</v>
      </c>
      <c r="G102" s="93">
        <f t="shared" si="34"/>
        <v>9.4999999999999982</v>
      </c>
      <c r="H102" s="93">
        <f t="shared" si="35"/>
        <v>228.37837837837833</v>
      </c>
    </row>
    <row r="103" spans="1:8" ht="26.25" customHeight="1">
      <c r="A103" s="75"/>
      <c r="B103" s="63" t="s">
        <v>222</v>
      </c>
      <c r="C103" s="66"/>
      <c r="D103" s="30"/>
      <c r="E103" s="30"/>
      <c r="F103" s="30">
        <v>6.5</v>
      </c>
      <c r="G103" s="93">
        <f t="shared" si="34"/>
        <v>6.5</v>
      </c>
      <c r="H103" s="93"/>
    </row>
    <row r="104" spans="1:8" ht="26.25" customHeight="1">
      <c r="A104" s="75"/>
      <c r="B104" s="63" t="s">
        <v>408</v>
      </c>
      <c r="C104" s="66"/>
      <c r="D104" s="30"/>
      <c r="E104" s="30"/>
      <c r="F104" s="30">
        <f>4.1</f>
        <v>4.0999999999999996</v>
      </c>
      <c r="G104" s="93">
        <f t="shared" si="34"/>
        <v>4.0999999999999996</v>
      </c>
      <c r="H104" s="93"/>
    </row>
    <row r="105" spans="1:8" ht="26.25" customHeight="1">
      <c r="A105" s="74"/>
      <c r="B105" s="62" t="s">
        <v>394</v>
      </c>
      <c r="C105" s="66"/>
      <c r="D105" s="30"/>
      <c r="E105" s="30">
        <v>1.3</v>
      </c>
      <c r="F105" s="30">
        <v>0.6</v>
      </c>
      <c r="G105" s="93">
        <f t="shared" si="34"/>
        <v>-0.70000000000000007</v>
      </c>
      <c r="H105" s="93">
        <f t="shared" si="35"/>
        <v>46.153846153846153</v>
      </c>
    </row>
    <row r="106" spans="1:8" ht="28.5" customHeight="1">
      <c r="A106" s="74"/>
      <c r="B106" s="62" t="s">
        <v>379</v>
      </c>
      <c r="C106" s="66"/>
      <c r="D106" s="30"/>
      <c r="E106" s="30">
        <v>2</v>
      </c>
      <c r="F106" s="30">
        <f>1.7+1.7</f>
        <v>3.4</v>
      </c>
      <c r="G106" s="93">
        <f t="shared" si="34"/>
        <v>1.4</v>
      </c>
      <c r="H106" s="93">
        <f t="shared" si="35"/>
        <v>170</v>
      </c>
    </row>
    <row r="107" spans="1:8" ht="26.25" customHeight="1">
      <c r="A107" s="74"/>
      <c r="B107" s="62" t="s">
        <v>190</v>
      </c>
      <c r="C107" s="66"/>
      <c r="D107" s="30"/>
      <c r="E107" s="30"/>
      <c r="F107" s="30">
        <f>0.2</f>
        <v>0.2</v>
      </c>
      <c r="G107" s="93">
        <f t="shared" si="34"/>
        <v>0.2</v>
      </c>
      <c r="H107" s="93"/>
    </row>
    <row r="108" spans="1:8" ht="27" customHeight="1">
      <c r="A108" s="74"/>
      <c r="B108" s="62" t="s">
        <v>400</v>
      </c>
      <c r="C108" s="66"/>
      <c r="D108" s="30"/>
      <c r="E108" s="30"/>
      <c r="F108" s="30">
        <f>0.7</f>
        <v>0.7</v>
      </c>
      <c r="G108" s="93">
        <f t="shared" si="34"/>
        <v>0.7</v>
      </c>
      <c r="H108" s="93"/>
    </row>
    <row r="109" spans="1:8" ht="27.75" customHeight="1">
      <c r="A109" s="74"/>
      <c r="B109" s="62" t="s">
        <v>395</v>
      </c>
      <c r="C109" s="66"/>
      <c r="D109" s="30"/>
      <c r="E109" s="30">
        <v>24</v>
      </c>
      <c r="F109" s="30"/>
      <c r="G109" s="93">
        <f t="shared" si="34"/>
        <v>-24</v>
      </c>
      <c r="H109" s="93">
        <f t="shared" si="35"/>
        <v>0</v>
      </c>
    </row>
    <row r="110" spans="1:8" ht="26.25" customHeight="1">
      <c r="A110" s="98" t="s">
        <v>473</v>
      </c>
      <c r="B110" s="196" t="s">
        <v>92</v>
      </c>
      <c r="C110" s="94">
        <v>1030</v>
      </c>
      <c r="D110" s="156">
        <f>D111</f>
        <v>114.9</v>
      </c>
      <c r="E110" s="156">
        <f>E111+E114</f>
        <v>83.4</v>
      </c>
      <c r="F110" s="156">
        <f>F111+F114</f>
        <v>83.5</v>
      </c>
      <c r="G110" s="191">
        <f>F110-E110</f>
        <v>9.9999999999994316E-2</v>
      </c>
      <c r="H110" s="191">
        <f>(F110/E110)*100</f>
        <v>100.11990407673861</v>
      </c>
    </row>
    <row r="111" spans="1:8" ht="26.25" customHeight="1">
      <c r="A111" s="75" t="s">
        <v>544</v>
      </c>
      <c r="B111" s="187" t="s">
        <v>108</v>
      </c>
      <c r="C111" s="77">
        <v>1031</v>
      </c>
      <c r="D111" s="33">
        <f>SUM(D112:D113)</f>
        <v>114.9</v>
      </c>
      <c r="E111" s="33">
        <f>SUM(E112:E113)</f>
        <v>0</v>
      </c>
      <c r="F111" s="33">
        <f>SUM(F112:F113)</f>
        <v>0</v>
      </c>
      <c r="G111" s="188">
        <f t="shared" ref="G111:G112" si="36">F111-E111</f>
        <v>0</v>
      </c>
      <c r="H111" s="188"/>
    </row>
    <row r="112" spans="1:8" ht="26.25" customHeight="1">
      <c r="A112" s="75"/>
      <c r="B112" s="71" t="s">
        <v>149</v>
      </c>
      <c r="C112" s="61"/>
      <c r="D112" s="30">
        <f>113.7-0.1</f>
        <v>113.60000000000001</v>
      </c>
      <c r="E112" s="30"/>
      <c r="F112" s="30"/>
      <c r="G112" s="93">
        <f t="shared" si="36"/>
        <v>0</v>
      </c>
      <c r="H112" s="93"/>
    </row>
    <row r="113" spans="1:8" ht="26.25" customHeight="1">
      <c r="A113" s="75"/>
      <c r="B113" s="62" t="s">
        <v>158</v>
      </c>
      <c r="C113" s="61"/>
      <c r="D113" s="30">
        <v>1.3</v>
      </c>
      <c r="E113" s="30"/>
      <c r="F113" s="30"/>
      <c r="G113" s="93">
        <f>F113-E113</f>
        <v>0</v>
      </c>
      <c r="H113" s="93"/>
    </row>
    <row r="114" spans="1:8" ht="26.25" customHeight="1">
      <c r="A114" s="75" t="s">
        <v>475</v>
      </c>
      <c r="B114" s="78" t="s">
        <v>92</v>
      </c>
      <c r="C114" s="77">
        <v>1035</v>
      </c>
      <c r="D114" s="33">
        <f>SUM(D116:D119)</f>
        <v>0</v>
      </c>
      <c r="E114" s="33">
        <f>SUM(E116:E119)</f>
        <v>83.4</v>
      </c>
      <c r="F114" s="33">
        <f>SUM(F115:F119)</f>
        <v>83.5</v>
      </c>
      <c r="G114" s="188">
        <f t="shared" ref="G114:G119" si="37">F114-E114</f>
        <v>9.9999999999994316E-2</v>
      </c>
      <c r="H114" s="188">
        <f t="shared" ref="H114:H119" si="38">(F114/E114)*100</f>
        <v>100.11990407673861</v>
      </c>
    </row>
    <row r="115" spans="1:8" ht="26.25" customHeight="1">
      <c r="A115" s="73"/>
      <c r="B115" s="64" t="s">
        <v>378</v>
      </c>
      <c r="C115" s="104"/>
      <c r="D115" s="30"/>
      <c r="E115" s="30"/>
      <c r="F115" s="30">
        <f>7.5+0.2</f>
        <v>7.7</v>
      </c>
      <c r="G115" s="93">
        <f t="shared" si="37"/>
        <v>7.7</v>
      </c>
      <c r="H115" s="93"/>
    </row>
    <row r="116" spans="1:8" ht="26.25" customHeight="1">
      <c r="A116" s="75"/>
      <c r="B116" s="62" t="s">
        <v>398</v>
      </c>
      <c r="C116" s="61"/>
      <c r="D116" s="30"/>
      <c r="E116" s="30">
        <v>1.2</v>
      </c>
      <c r="F116" s="30">
        <f>1.2</f>
        <v>1.2</v>
      </c>
      <c r="G116" s="93">
        <f t="shared" si="37"/>
        <v>0</v>
      </c>
      <c r="H116" s="93">
        <f t="shared" si="38"/>
        <v>100</v>
      </c>
    </row>
    <row r="117" spans="1:8" ht="26.25" customHeight="1">
      <c r="A117" s="75"/>
      <c r="B117" s="62" t="s">
        <v>399</v>
      </c>
      <c r="C117" s="61"/>
      <c r="D117" s="30"/>
      <c r="E117" s="30">
        <v>81.2</v>
      </c>
      <c r="F117" s="30">
        <f>50.3+24.3</f>
        <v>74.599999999999994</v>
      </c>
      <c r="G117" s="93">
        <f t="shared" si="37"/>
        <v>-6.6000000000000085</v>
      </c>
      <c r="H117" s="93">
        <f t="shared" si="38"/>
        <v>91.871921182266007</v>
      </c>
    </row>
    <row r="118" spans="1:8" ht="26.25" customHeight="1">
      <c r="A118" s="75"/>
      <c r="B118" s="62" t="s">
        <v>400</v>
      </c>
      <c r="C118" s="61"/>
      <c r="D118" s="30"/>
      <c r="E118" s="30">
        <v>0.7</v>
      </c>
      <c r="F118" s="30"/>
      <c r="G118" s="93">
        <f t="shared" si="37"/>
        <v>-0.7</v>
      </c>
      <c r="H118" s="93">
        <f t="shared" si="38"/>
        <v>0</v>
      </c>
    </row>
    <row r="119" spans="1:8" ht="26.25" customHeight="1">
      <c r="A119" s="75"/>
      <c r="B119" s="62" t="s">
        <v>44</v>
      </c>
      <c r="C119" s="61"/>
      <c r="D119" s="30"/>
      <c r="E119" s="30">
        <v>0.3</v>
      </c>
      <c r="F119" s="30"/>
      <c r="G119" s="93">
        <f t="shared" si="37"/>
        <v>-0.3</v>
      </c>
      <c r="H119" s="93">
        <f t="shared" si="38"/>
        <v>0</v>
      </c>
    </row>
    <row r="120" spans="1:8" ht="26.25" customHeight="1">
      <c r="A120" s="73" t="s">
        <v>106</v>
      </c>
      <c r="B120" s="243" t="s">
        <v>189</v>
      </c>
      <c r="C120" s="244"/>
      <c r="D120" s="29">
        <f>D122+D140+D147</f>
        <v>375.20000000000005</v>
      </c>
      <c r="E120" s="29">
        <f>E122+E140+E147</f>
        <v>332.00000000000006</v>
      </c>
      <c r="F120" s="29">
        <f>F122+F140+F147</f>
        <v>303.2</v>
      </c>
      <c r="G120" s="91">
        <f>F120-E120</f>
        <v>-28.800000000000068</v>
      </c>
      <c r="H120" s="91">
        <f>F120/E120*100</f>
        <v>91.325301204819255</v>
      </c>
    </row>
    <row r="121" spans="1:8" ht="26.25" customHeight="1">
      <c r="A121" s="74"/>
      <c r="B121" s="64" t="s">
        <v>85</v>
      </c>
      <c r="C121" s="66"/>
      <c r="D121" s="30"/>
      <c r="E121" s="30"/>
      <c r="F121" s="30"/>
      <c r="G121" s="93"/>
      <c r="H121" s="93"/>
    </row>
    <row r="122" spans="1:8" ht="26.25" customHeight="1">
      <c r="A122" s="98" t="s">
        <v>476</v>
      </c>
      <c r="B122" s="193" t="s">
        <v>89</v>
      </c>
      <c r="C122" s="197">
        <v>1010</v>
      </c>
      <c r="D122" s="156">
        <f>D129</f>
        <v>250</v>
      </c>
      <c r="E122" s="156">
        <f>E123+E129</f>
        <v>328.70000000000005</v>
      </c>
      <c r="F122" s="156">
        <f>F123+F129</f>
        <v>299.89999999999998</v>
      </c>
      <c r="G122" s="191">
        <f t="shared" ref="G122:G157" si="39">F122-E122</f>
        <v>-28.800000000000068</v>
      </c>
      <c r="H122" s="191">
        <f t="shared" ref="H122:H156" si="40">(F122/E122)*100</f>
        <v>91.238211134773323</v>
      </c>
    </row>
    <row r="123" spans="1:8" ht="26.25" customHeight="1">
      <c r="A123" s="75" t="s">
        <v>477</v>
      </c>
      <c r="B123" s="76" t="s">
        <v>108</v>
      </c>
      <c r="C123" s="77">
        <v>1011</v>
      </c>
      <c r="D123" s="33">
        <f>SUM(D124:D128)</f>
        <v>0</v>
      </c>
      <c r="E123" s="33">
        <f>SUM(E124:E128)</f>
        <v>266.10000000000002</v>
      </c>
      <c r="F123" s="33">
        <f>SUM(F124:F128)</f>
        <v>238.39999999999998</v>
      </c>
      <c r="G123" s="188">
        <f t="shared" si="39"/>
        <v>-27.700000000000045</v>
      </c>
      <c r="H123" s="188">
        <f t="shared" si="40"/>
        <v>89.590379556557664</v>
      </c>
    </row>
    <row r="124" spans="1:8" ht="26.25" customHeight="1">
      <c r="A124" s="75"/>
      <c r="B124" s="62" t="s">
        <v>141</v>
      </c>
      <c r="C124" s="77"/>
      <c r="D124" s="30"/>
      <c r="E124" s="30">
        <v>7.4</v>
      </c>
      <c r="F124" s="30">
        <f>2.4+47.4</f>
        <v>49.8</v>
      </c>
      <c r="G124" s="93">
        <f t="shared" si="39"/>
        <v>42.4</v>
      </c>
      <c r="H124" s="93">
        <f t="shared" si="40"/>
        <v>672.97297297297291</v>
      </c>
    </row>
    <row r="125" spans="1:8" ht="26.25" customHeight="1">
      <c r="A125" s="75"/>
      <c r="B125" s="62" t="s">
        <v>149</v>
      </c>
      <c r="C125" s="77"/>
      <c r="D125" s="30"/>
      <c r="E125" s="30">
        <v>153.6</v>
      </c>
      <c r="F125" s="30">
        <f>95.1</f>
        <v>95.1</v>
      </c>
      <c r="G125" s="93">
        <f t="shared" si="39"/>
        <v>-58.5</v>
      </c>
      <c r="H125" s="93">
        <f t="shared" si="40"/>
        <v>61.9140625</v>
      </c>
    </row>
    <row r="126" spans="1:8" ht="26.25" customHeight="1">
      <c r="A126" s="75"/>
      <c r="B126" s="62" t="s">
        <v>364</v>
      </c>
      <c r="C126" s="77"/>
      <c r="D126" s="30"/>
      <c r="E126" s="30">
        <v>52.5</v>
      </c>
      <c r="F126" s="30">
        <f>4.6+1.2</f>
        <v>5.8</v>
      </c>
      <c r="G126" s="93">
        <f t="shared" si="39"/>
        <v>-46.7</v>
      </c>
      <c r="H126" s="93">
        <f t="shared" si="40"/>
        <v>11.047619047619047</v>
      </c>
    </row>
    <row r="127" spans="1:8" ht="41.25" customHeight="1">
      <c r="A127" s="75"/>
      <c r="B127" s="62" t="s">
        <v>152</v>
      </c>
      <c r="C127" s="77"/>
      <c r="D127" s="30"/>
      <c r="E127" s="30">
        <v>36.6</v>
      </c>
      <c r="F127" s="30">
        <f>1</f>
        <v>1</v>
      </c>
      <c r="G127" s="93">
        <f t="shared" si="39"/>
        <v>-35.6</v>
      </c>
      <c r="H127" s="93">
        <f t="shared" si="40"/>
        <v>2.7322404371584699</v>
      </c>
    </row>
    <row r="128" spans="1:8" ht="24" customHeight="1">
      <c r="A128" s="75"/>
      <c r="B128" s="62" t="s">
        <v>463</v>
      </c>
      <c r="C128" s="77"/>
      <c r="D128" s="30"/>
      <c r="E128" s="30">
        <v>16</v>
      </c>
      <c r="F128" s="30">
        <f>93.4-6.7</f>
        <v>86.7</v>
      </c>
      <c r="G128" s="93">
        <f t="shared" si="39"/>
        <v>70.7</v>
      </c>
      <c r="H128" s="93">
        <f t="shared" si="40"/>
        <v>541.875</v>
      </c>
    </row>
    <row r="129" spans="1:8" ht="26.25" customHeight="1">
      <c r="A129" s="75" t="s">
        <v>478</v>
      </c>
      <c r="B129" s="92" t="s">
        <v>162</v>
      </c>
      <c r="C129" s="65">
        <v>1015</v>
      </c>
      <c r="D129" s="33">
        <f>D139</f>
        <v>250</v>
      </c>
      <c r="E129" s="33">
        <f>SUM(E130:E139)</f>
        <v>62.599999999999994</v>
      </c>
      <c r="F129" s="33">
        <f>SUM(F130:F139)</f>
        <v>61.5</v>
      </c>
      <c r="G129" s="188">
        <f t="shared" si="39"/>
        <v>-1.0999999999999943</v>
      </c>
      <c r="H129" s="188">
        <f t="shared" si="40"/>
        <v>98.242811501597444</v>
      </c>
    </row>
    <row r="130" spans="1:8" ht="26.25" customHeight="1">
      <c r="A130" s="73"/>
      <c r="B130" s="70" t="s">
        <v>384</v>
      </c>
      <c r="C130" s="89"/>
      <c r="D130" s="30"/>
      <c r="E130" s="30">
        <v>0.3</v>
      </c>
      <c r="F130" s="30">
        <f>0.2</f>
        <v>0.2</v>
      </c>
      <c r="G130" s="93">
        <f t="shared" si="39"/>
        <v>-9.9999999999999978E-2</v>
      </c>
      <c r="H130" s="93">
        <f t="shared" si="40"/>
        <v>66.666666666666671</v>
      </c>
    </row>
    <row r="131" spans="1:8" ht="26.25" customHeight="1">
      <c r="A131" s="73"/>
      <c r="B131" s="70" t="s">
        <v>358</v>
      </c>
      <c r="C131" s="89"/>
      <c r="D131" s="30"/>
      <c r="E131" s="30">
        <v>1.5</v>
      </c>
      <c r="F131" s="30">
        <f>1.5</f>
        <v>1.5</v>
      </c>
      <c r="G131" s="93">
        <f t="shared" si="39"/>
        <v>0</v>
      </c>
      <c r="H131" s="93">
        <f t="shared" si="40"/>
        <v>100</v>
      </c>
    </row>
    <row r="132" spans="1:8" ht="26.25" customHeight="1">
      <c r="A132" s="73"/>
      <c r="B132" s="70" t="s">
        <v>359</v>
      </c>
      <c r="C132" s="89"/>
      <c r="D132" s="30"/>
      <c r="E132" s="30">
        <v>8.4</v>
      </c>
      <c r="F132" s="30">
        <f>5.4+6.6</f>
        <v>12</v>
      </c>
      <c r="G132" s="93">
        <f t="shared" si="39"/>
        <v>3.5999999999999996</v>
      </c>
      <c r="H132" s="93">
        <f t="shared" si="40"/>
        <v>142.85714285714286</v>
      </c>
    </row>
    <row r="133" spans="1:8" ht="26.25" customHeight="1">
      <c r="A133" s="73"/>
      <c r="B133" s="70" t="s">
        <v>383</v>
      </c>
      <c r="C133" s="89"/>
      <c r="D133" s="30"/>
      <c r="E133" s="30">
        <v>1.7</v>
      </c>
      <c r="F133" s="30"/>
      <c r="G133" s="93">
        <f t="shared" si="39"/>
        <v>-1.7</v>
      </c>
      <c r="H133" s="93">
        <f t="shared" si="40"/>
        <v>0</v>
      </c>
    </row>
    <row r="134" spans="1:8" ht="26.25" customHeight="1">
      <c r="A134" s="73"/>
      <c r="B134" s="70" t="s">
        <v>407</v>
      </c>
      <c r="C134" s="89"/>
      <c r="D134" s="30"/>
      <c r="E134" s="30"/>
      <c r="F134" s="30">
        <v>0.6</v>
      </c>
      <c r="G134" s="93">
        <f t="shared" si="39"/>
        <v>0.6</v>
      </c>
      <c r="H134" s="93"/>
    </row>
    <row r="135" spans="1:8" ht="26.25" customHeight="1">
      <c r="A135" s="73"/>
      <c r="B135" s="70" t="s">
        <v>385</v>
      </c>
      <c r="C135" s="89"/>
      <c r="D135" s="30"/>
      <c r="E135" s="30">
        <v>4.5</v>
      </c>
      <c r="F135" s="30">
        <v>0.4</v>
      </c>
      <c r="G135" s="93">
        <f t="shared" si="39"/>
        <v>-4.0999999999999996</v>
      </c>
      <c r="H135" s="93">
        <f t="shared" si="40"/>
        <v>8.8888888888888893</v>
      </c>
    </row>
    <row r="136" spans="1:8" ht="26.25" customHeight="1">
      <c r="A136" s="73"/>
      <c r="B136" s="70" t="s">
        <v>175</v>
      </c>
      <c r="C136" s="89"/>
      <c r="D136" s="30"/>
      <c r="E136" s="30">
        <v>5.4</v>
      </c>
      <c r="F136" s="30"/>
      <c r="G136" s="93">
        <f t="shared" si="39"/>
        <v>-5.4</v>
      </c>
      <c r="H136" s="93">
        <f t="shared" si="40"/>
        <v>0</v>
      </c>
    </row>
    <row r="137" spans="1:8" ht="26.25" customHeight="1">
      <c r="A137" s="73"/>
      <c r="B137" s="70" t="s">
        <v>173</v>
      </c>
      <c r="C137" s="89"/>
      <c r="D137" s="30"/>
      <c r="E137" s="30">
        <v>0.6</v>
      </c>
      <c r="F137" s="30">
        <f>0.7+1.2</f>
        <v>1.9</v>
      </c>
      <c r="G137" s="93">
        <f t="shared" si="39"/>
        <v>1.2999999999999998</v>
      </c>
      <c r="H137" s="93">
        <f t="shared" si="40"/>
        <v>316.66666666666663</v>
      </c>
    </row>
    <row r="138" spans="1:8" ht="26.25" customHeight="1">
      <c r="A138" s="73"/>
      <c r="B138" s="70" t="s">
        <v>174</v>
      </c>
      <c r="C138" s="89"/>
      <c r="D138" s="30"/>
      <c r="E138" s="30">
        <v>32</v>
      </c>
      <c r="F138" s="30"/>
      <c r="G138" s="93">
        <f t="shared" si="39"/>
        <v>-32</v>
      </c>
      <c r="H138" s="93">
        <f t="shared" si="40"/>
        <v>0</v>
      </c>
    </row>
    <row r="139" spans="1:8" ht="26.25" customHeight="1">
      <c r="A139" s="74"/>
      <c r="B139" s="64" t="s">
        <v>157</v>
      </c>
      <c r="C139" s="66"/>
      <c r="D139" s="30">
        <v>250</v>
      </c>
      <c r="E139" s="30">
        <v>8.1999999999999993</v>
      </c>
      <c r="F139" s="30">
        <f>60.1-15.2</f>
        <v>44.900000000000006</v>
      </c>
      <c r="G139" s="93">
        <f t="shared" si="39"/>
        <v>36.700000000000003</v>
      </c>
      <c r="H139" s="93">
        <f t="shared" si="40"/>
        <v>547.56097560975616</v>
      </c>
    </row>
    <row r="140" spans="1:8" ht="26.25" customHeight="1">
      <c r="A140" s="98" t="s">
        <v>479</v>
      </c>
      <c r="B140" s="196" t="s">
        <v>91</v>
      </c>
      <c r="C140" s="197">
        <v>1020</v>
      </c>
      <c r="D140" s="156">
        <f>D141+D143</f>
        <v>108.60000000000001</v>
      </c>
      <c r="E140" s="156">
        <f t="shared" ref="E140" si="41">E141+E143</f>
        <v>0</v>
      </c>
      <c r="F140" s="156">
        <f>F141+F143</f>
        <v>0</v>
      </c>
      <c r="G140" s="191">
        <f t="shared" si="39"/>
        <v>0</v>
      </c>
      <c r="H140" s="191"/>
    </row>
    <row r="141" spans="1:8" ht="26.25" customHeight="1">
      <c r="A141" s="75" t="s">
        <v>480</v>
      </c>
      <c r="B141" s="187" t="s">
        <v>108</v>
      </c>
      <c r="C141" s="77">
        <v>1021</v>
      </c>
      <c r="D141" s="33">
        <f>D142</f>
        <v>4.5</v>
      </c>
      <c r="E141" s="33"/>
      <c r="F141" s="33">
        <f>F142</f>
        <v>0</v>
      </c>
      <c r="G141" s="188">
        <f t="shared" si="39"/>
        <v>0</v>
      </c>
      <c r="H141" s="188"/>
    </row>
    <row r="142" spans="1:8" ht="40.5" customHeight="1">
      <c r="A142" s="74"/>
      <c r="B142" s="62" t="s">
        <v>152</v>
      </c>
      <c r="C142" s="66"/>
      <c r="D142" s="30">
        <v>4.5</v>
      </c>
      <c r="E142" s="30"/>
      <c r="F142" s="30"/>
      <c r="G142" s="93">
        <f t="shared" si="39"/>
        <v>0</v>
      </c>
      <c r="H142" s="93"/>
    </row>
    <row r="143" spans="1:8" ht="26.25" customHeight="1">
      <c r="A143" s="75" t="s">
        <v>481</v>
      </c>
      <c r="B143" s="195" t="s">
        <v>147</v>
      </c>
      <c r="C143" s="77">
        <v>1025</v>
      </c>
      <c r="D143" s="33">
        <f>SUM(D144:D146)</f>
        <v>104.10000000000001</v>
      </c>
      <c r="E143" s="33">
        <f t="shared" ref="E143" si="42">SUM(E144:E146)</f>
        <v>0</v>
      </c>
      <c r="F143" s="33">
        <f>SUM(F144:F146)</f>
        <v>0</v>
      </c>
      <c r="G143" s="188">
        <f t="shared" si="39"/>
        <v>0</v>
      </c>
      <c r="H143" s="188"/>
    </row>
    <row r="144" spans="1:8" ht="26.25" customHeight="1">
      <c r="A144" s="74"/>
      <c r="B144" s="63" t="s">
        <v>190</v>
      </c>
      <c r="C144" s="66"/>
      <c r="D144" s="30">
        <v>0.9</v>
      </c>
      <c r="E144" s="30"/>
      <c r="F144" s="30"/>
      <c r="G144" s="93">
        <f t="shared" si="39"/>
        <v>0</v>
      </c>
      <c r="H144" s="93"/>
    </row>
    <row r="145" spans="1:8" ht="26.25" customHeight="1">
      <c r="A145" s="74"/>
      <c r="B145" s="63" t="s">
        <v>445</v>
      </c>
      <c r="C145" s="72"/>
      <c r="D145" s="30">
        <v>102.9</v>
      </c>
      <c r="E145" s="30"/>
      <c r="F145" s="30"/>
      <c r="G145" s="93">
        <f t="shared" si="39"/>
        <v>0</v>
      </c>
      <c r="H145" s="93"/>
    </row>
    <row r="146" spans="1:8" ht="26.25" customHeight="1">
      <c r="A146" s="74"/>
      <c r="B146" s="62" t="s">
        <v>164</v>
      </c>
      <c r="C146" s="66"/>
      <c r="D146" s="30">
        <v>0.3</v>
      </c>
      <c r="E146" s="30"/>
      <c r="F146" s="30"/>
      <c r="G146" s="93">
        <f t="shared" si="39"/>
        <v>0</v>
      </c>
      <c r="H146" s="93"/>
    </row>
    <row r="147" spans="1:8" ht="26.25" customHeight="1">
      <c r="A147" s="98" t="s">
        <v>482</v>
      </c>
      <c r="B147" s="196" t="s">
        <v>92</v>
      </c>
      <c r="C147" s="197">
        <v>1030</v>
      </c>
      <c r="D147" s="156">
        <f>SUM(D148:D149)</f>
        <v>16.599999999999998</v>
      </c>
      <c r="E147" s="156">
        <f t="shared" ref="E147:F147" si="43">SUM(E148:E149)</f>
        <v>3.3</v>
      </c>
      <c r="F147" s="156">
        <f t="shared" si="43"/>
        <v>3.3</v>
      </c>
      <c r="G147" s="191">
        <f t="shared" si="39"/>
        <v>0</v>
      </c>
      <c r="H147" s="191">
        <f t="shared" si="40"/>
        <v>100</v>
      </c>
    </row>
    <row r="148" spans="1:8" ht="26.25" customHeight="1">
      <c r="A148" s="75" t="s">
        <v>545</v>
      </c>
      <c r="B148" s="116" t="s">
        <v>4</v>
      </c>
      <c r="C148" s="77">
        <v>1034</v>
      </c>
      <c r="D148" s="33">
        <v>2.7</v>
      </c>
      <c r="E148" s="33"/>
      <c r="F148" s="33"/>
      <c r="G148" s="188">
        <f>F148-E148</f>
        <v>0</v>
      </c>
      <c r="H148" s="188"/>
    </row>
    <row r="149" spans="1:8" ht="26.25" customHeight="1">
      <c r="A149" s="75" t="s">
        <v>483</v>
      </c>
      <c r="B149" s="78" t="s">
        <v>92</v>
      </c>
      <c r="C149" s="77">
        <v>1035</v>
      </c>
      <c r="D149" s="33">
        <f>SUM(D150:D157)</f>
        <v>13.899999999999999</v>
      </c>
      <c r="E149" s="33">
        <f>SUM(E150:E157)</f>
        <v>3.3</v>
      </c>
      <c r="F149" s="33">
        <f>SUM(F150:F157)</f>
        <v>3.3</v>
      </c>
      <c r="G149" s="188">
        <f t="shared" si="39"/>
        <v>0</v>
      </c>
      <c r="H149" s="188">
        <f t="shared" si="40"/>
        <v>100</v>
      </c>
    </row>
    <row r="150" spans="1:8" ht="26.25" customHeight="1">
      <c r="A150" s="74"/>
      <c r="B150" s="62" t="s">
        <v>192</v>
      </c>
      <c r="C150" s="72"/>
      <c r="D150" s="30">
        <v>2.2999999999999998</v>
      </c>
      <c r="E150" s="30"/>
      <c r="F150" s="30"/>
      <c r="G150" s="93">
        <f t="shared" si="39"/>
        <v>0</v>
      </c>
      <c r="H150" s="93"/>
    </row>
    <row r="151" spans="1:8" ht="26.25" customHeight="1">
      <c r="A151" s="74"/>
      <c r="B151" s="62" t="s">
        <v>174</v>
      </c>
      <c r="C151" s="66"/>
      <c r="D151" s="30">
        <v>3.3</v>
      </c>
      <c r="E151" s="30"/>
      <c r="F151" s="30"/>
      <c r="G151" s="93">
        <f t="shared" si="39"/>
        <v>0</v>
      </c>
      <c r="H151" s="93"/>
    </row>
    <row r="152" spans="1:8" ht="26.25" customHeight="1">
      <c r="A152" s="74"/>
      <c r="B152" s="62" t="s">
        <v>193</v>
      </c>
      <c r="C152" s="72"/>
      <c r="D152" s="30">
        <v>4.8</v>
      </c>
      <c r="E152" s="30"/>
      <c r="F152" s="30"/>
      <c r="G152" s="93">
        <f t="shared" si="39"/>
        <v>0</v>
      </c>
      <c r="H152" s="93"/>
    </row>
    <row r="153" spans="1:8" ht="26.25" customHeight="1">
      <c r="A153" s="74"/>
      <c r="B153" s="62" t="s">
        <v>194</v>
      </c>
      <c r="C153" s="72"/>
      <c r="D153" s="30">
        <v>0.5</v>
      </c>
      <c r="E153" s="30"/>
      <c r="F153" s="30"/>
      <c r="G153" s="93">
        <f t="shared" si="39"/>
        <v>0</v>
      </c>
      <c r="H153" s="93"/>
    </row>
    <row r="154" spans="1:8" ht="39.75" customHeight="1">
      <c r="A154" s="74"/>
      <c r="B154" s="62" t="s">
        <v>144</v>
      </c>
      <c r="C154" s="72"/>
      <c r="D154" s="30">
        <v>0.2</v>
      </c>
      <c r="E154" s="30"/>
      <c r="F154" s="30"/>
      <c r="G154" s="93">
        <f t="shared" si="39"/>
        <v>0</v>
      </c>
      <c r="H154" s="93"/>
    </row>
    <row r="155" spans="1:8" ht="26.25" customHeight="1">
      <c r="A155" s="74"/>
      <c r="B155" s="79" t="s">
        <v>154</v>
      </c>
      <c r="C155" s="66"/>
      <c r="D155" s="30">
        <v>0.8</v>
      </c>
      <c r="E155" s="30"/>
      <c r="F155" s="30"/>
      <c r="G155" s="93">
        <f t="shared" si="39"/>
        <v>0</v>
      </c>
      <c r="H155" s="93"/>
    </row>
    <row r="156" spans="1:8" ht="26.25" customHeight="1">
      <c r="A156" s="74"/>
      <c r="B156" s="218" t="s">
        <v>386</v>
      </c>
      <c r="C156" s="72"/>
      <c r="D156" s="30"/>
      <c r="E156" s="30">
        <v>3.3</v>
      </c>
      <c r="F156" s="30">
        <v>3.3</v>
      </c>
      <c r="G156" s="93">
        <f t="shared" si="39"/>
        <v>0</v>
      </c>
      <c r="H156" s="93">
        <f t="shared" si="40"/>
        <v>100</v>
      </c>
    </row>
    <row r="157" spans="1:8" ht="26.25" customHeight="1">
      <c r="A157" s="80"/>
      <c r="B157" s="62" t="s">
        <v>195</v>
      </c>
      <c r="C157" s="72"/>
      <c r="D157" s="30">
        <v>2</v>
      </c>
      <c r="E157" s="30"/>
      <c r="F157" s="30"/>
      <c r="G157" s="93">
        <f t="shared" si="39"/>
        <v>0</v>
      </c>
      <c r="H157" s="93"/>
    </row>
    <row r="158" spans="1:8" ht="39.75" customHeight="1">
      <c r="A158" s="73" t="s">
        <v>107</v>
      </c>
      <c r="B158" s="243" t="s">
        <v>409</v>
      </c>
      <c r="C158" s="242"/>
      <c r="D158" s="29">
        <f>D160+D174+D192</f>
        <v>475.3</v>
      </c>
      <c r="E158" s="29">
        <f>E160+E174+E192</f>
        <v>392.4</v>
      </c>
      <c r="F158" s="29">
        <f>F160+F174+F192</f>
        <v>130.29999999999998</v>
      </c>
      <c r="G158" s="91">
        <f>F158-E158</f>
        <v>-262.10000000000002</v>
      </c>
      <c r="H158" s="91">
        <f>F158/E158*100</f>
        <v>33.205912334352696</v>
      </c>
    </row>
    <row r="159" spans="1:8" ht="26.25" customHeight="1">
      <c r="A159" s="75"/>
      <c r="B159" s="78" t="s">
        <v>85</v>
      </c>
      <c r="C159" s="68"/>
      <c r="D159" s="30"/>
      <c r="E159" s="30"/>
      <c r="F159" s="30"/>
      <c r="G159" s="93"/>
      <c r="H159" s="93"/>
    </row>
    <row r="160" spans="1:8" ht="26.25" customHeight="1">
      <c r="A160" s="98" t="s">
        <v>484</v>
      </c>
      <c r="B160" s="196" t="s">
        <v>89</v>
      </c>
      <c r="C160" s="94">
        <v>1010</v>
      </c>
      <c r="D160" s="156">
        <f>D161+D167+D166</f>
        <v>356.3</v>
      </c>
      <c r="E160" s="156">
        <f>E161+E167</f>
        <v>251.7</v>
      </c>
      <c r="F160" s="156">
        <f>F161+F167</f>
        <v>82</v>
      </c>
      <c r="G160" s="191">
        <f t="shared" ref="G160:G201" si="44">F160-E160</f>
        <v>-169.7</v>
      </c>
      <c r="H160" s="191">
        <f t="shared" ref="H160:H201" si="45">(F160/E160)*100</f>
        <v>32.578466428287648</v>
      </c>
    </row>
    <row r="161" spans="1:8" ht="26.25" customHeight="1">
      <c r="A161" s="75" t="s">
        <v>485</v>
      </c>
      <c r="B161" s="187" t="s">
        <v>108</v>
      </c>
      <c r="C161" s="77">
        <v>1011</v>
      </c>
      <c r="D161" s="33">
        <f>D162</f>
        <v>0.9</v>
      </c>
      <c r="E161" s="33">
        <f>SUM(E162:E165)</f>
        <v>231</v>
      </c>
      <c r="F161" s="33">
        <f>SUM(F162:F165)</f>
        <v>49.6</v>
      </c>
      <c r="G161" s="188">
        <f t="shared" si="44"/>
        <v>-181.4</v>
      </c>
      <c r="H161" s="188">
        <f t="shared" si="45"/>
        <v>21.471861471861473</v>
      </c>
    </row>
    <row r="162" spans="1:8" ht="26.25" customHeight="1">
      <c r="A162" s="75"/>
      <c r="B162" s="64" t="s">
        <v>141</v>
      </c>
      <c r="C162" s="66"/>
      <c r="D162" s="30">
        <v>0.9</v>
      </c>
      <c r="E162" s="30">
        <v>60</v>
      </c>
      <c r="F162" s="30"/>
      <c r="G162" s="93">
        <f t="shared" si="44"/>
        <v>-60</v>
      </c>
      <c r="H162" s="93">
        <f t="shared" si="45"/>
        <v>0</v>
      </c>
    </row>
    <row r="163" spans="1:8" ht="26.25" customHeight="1">
      <c r="A163" s="75"/>
      <c r="B163" s="64" t="s">
        <v>387</v>
      </c>
      <c r="C163" s="66"/>
      <c r="D163" s="30"/>
      <c r="E163" s="30">
        <v>15.3</v>
      </c>
      <c r="F163" s="30"/>
      <c r="G163" s="93">
        <f t="shared" si="44"/>
        <v>-15.3</v>
      </c>
      <c r="H163" s="93">
        <f t="shared" si="45"/>
        <v>0</v>
      </c>
    </row>
    <row r="164" spans="1:8" ht="41.25" customHeight="1">
      <c r="A164" s="75"/>
      <c r="B164" s="70" t="s">
        <v>152</v>
      </c>
      <c r="C164" s="66"/>
      <c r="D164" s="30"/>
      <c r="E164" s="30">
        <v>117.4</v>
      </c>
      <c r="F164" s="30">
        <f>11.1-7.7+39.5</f>
        <v>42.9</v>
      </c>
      <c r="G164" s="93">
        <f t="shared" si="44"/>
        <v>-74.5</v>
      </c>
      <c r="H164" s="93">
        <f t="shared" si="45"/>
        <v>36.54173764906303</v>
      </c>
    </row>
    <row r="165" spans="1:8" ht="26.25" customHeight="1">
      <c r="A165" s="75"/>
      <c r="B165" s="70" t="s">
        <v>463</v>
      </c>
      <c r="C165" s="66"/>
      <c r="D165" s="30"/>
      <c r="E165" s="30">
        <v>38.299999999999997</v>
      </c>
      <c r="F165" s="30">
        <v>6.7</v>
      </c>
      <c r="G165" s="93">
        <f t="shared" si="44"/>
        <v>-31.599999999999998</v>
      </c>
      <c r="H165" s="93">
        <f t="shared" si="45"/>
        <v>17.493472584856399</v>
      </c>
    </row>
    <row r="166" spans="1:8" ht="26.25" customHeight="1">
      <c r="A166" s="75" t="s">
        <v>486</v>
      </c>
      <c r="B166" s="116" t="s">
        <v>4</v>
      </c>
      <c r="C166" s="65">
        <v>1014</v>
      </c>
      <c r="D166" s="33">
        <v>219.3</v>
      </c>
      <c r="E166" s="33"/>
      <c r="F166" s="33"/>
      <c r="G166" s="188">
        <f>F166-E166</f>
        <v>0</v>
      </c>
      <c r="H166" s="188"/>
    </row>
    <row r="167" spans="1:8" ht="26.25" customHeight="1">
      <c r="A167" s="75" t="s">
        <v>487</v>
      </c>
      <c r="B167" s="92" t="s">
        <v>162</v>
      </c>
      <c r="C167" s="65">
        <v>1015</v>
      </c>
      <c r="D167" s="33">
        <f>SUM(D168:D171)</f>
        <v>136.1</v>
      </c>
      <c r="E167" s="33">
        <f>SUM(E168:E171)</f>
        <v>20.7</v>
      </c>
      <c r="F167" s="33">
        <f>SUM(F168:F173)</f>
        <v>32.4</v>
      </c>
      <c r="G167" s="188">
        <f t="shared" si="44"/>
        <v>11.7</v>
      </c>
      <c r="H167" s="188">
        <f t="shared" si="45"/>
        <v>156.52173913043478</v>
      </c>
    </row>
    <row r="168" spans="1:8" ht="26.25" customHeight="1">
      <c r="A168" s="75"/>
      <c r="B168" s="62" t="s">
        <v>156</v>
      </c>
      <c r="C168" s="66"/>
      <c r="D168" s="30">
        <v>4.5999999999999996</v>
      </c>
      <c r="E168" s="30"/>
      <c r="F168" s="30"/>
      <c r="G168" s="93">
        <f t="shared" si="44"/>
        <v>0</v>
      </c>
      <c r="H168" s="93"/>
    </row>
    <row r="169" spans="1:8" ht="26.25" customHeight="1">
      <c r="A169" s="75"/>
      <c r="B169" s="62" t="s">
        <v>164</v>
      </c>
      <c r="C169" s="66"/>
      <c r="D169" s="30"/>
      <c r="E169" s="30"/>
      <c r="F169" s="30">
        <v>10.1</v>
      </c>
      <c r="G169" s="93">
        <f t="shared" si="44"/>
        <v>10.1</v>
      </c>
      <c r="H169" s="93"/>
    </row>
    <row r="170" spans="1:8" ht="26.25" customHeight="1">
      <c r="A170" s="75"/>
      <c r="B170" s="64" t="s">
        <v>157</v>
      </c>
      <c r="C170" s="66"/>
      <c r="D170" s="30">
        <f>164.9-38.4</f>
        <v>126.5</v>
      </c>
      <c r="E170" s="30">
        <v>20.7</v>
      </c>
      <c r="F170" s="30"/>
      <c r="G170" s="93">
        <f t="shared" si="44"/>
        <v>-20.7</v>
      </c>
      <c r="H170" s="93"/>
    </row>
    <row r="171" spans="1:8" ht="26.25" customHeight="1">
      <c r="A171" s="75"/>
      <c r="B171" s="64" t="s">
        <v>410</v>
      </c>
      <c r="C171" s="66"/>
      <c r="D171" s="30">
        <v>5</v>
      </c>
      <c r="E171" s="30"/>
      <c r="F171" s="30">
        <f>5.6</f>
        <v>5.6</v>
      </c>
      <c r="G171" s="93">
        <f t="shared" si="44"/>
        <v>5.6</v>
      </c>
      <c r="H171" s="93"/>
    </row>
    <row r="172" spans="1:8" ht="26.25" customHeight="1">
      <c r="A172" s="75"/>
      <c r="B172" s="64" t="s">
        <v>183</v>
      </c>
      <c r="C172" s="66"/>
      <c r="D172" s="30">
        <v>1.1000000000000001</v>
      </c>
      <c r="E172" s="30"/>
      <c r="F172" s="30"/>
      <c r="G172" s="93">
        <f t="shared" si="44"/>
        <v>0</v>
      </c>
      <c r="H172" s="93"/>
    </row>
    <row r="173" spans="1:8" ht="26.25" customHeight="1">
      <c r="A173" s="75"/>
      <c r="B173" s="64" t="s">
        <v>390</v>
      </c>
      <c r="C173" s="66"/>
      <c r="D173" s="30"/>
      <c r="E173" s="30"/>
      <c r="F173" s="30">
        <f>16.7</f>
        <v>16.7</v>
      </c>
      <c r="G173" s="93">
        <f t="shared" si="44"/>
        <v>16.7</v>
      </c>
      <c r="H173" s="93"/>
    </row>
    <row r="174" spans="1:8" ht="26.25" customHeight="1">
      <c r="A174" s="98" t="s">
        <v>488</v>
      </c>
      <c r="B174" s="196" t="s">
        <v>91</v>
      </c>
      <c r="C174" s="94">
        <v>1020</v>
      </c>
      <c r="D174" s="156">
        <f>D175+D179+D178</f>
        <v>108.8</v>
      </c>
      <c r="E174" s="156">
        <f>E175+E179</f>
        <v>48.699999999999996</v>
      </c>
      <c r="F174" s="156">
        <f>F175+F179</f>
        <v>46.399999999999991</v>
      </c>
      <c r="G174" s="191">
        <f t="shared" si="44"/>
        <v>-2.3000000000000043</v>
      </c>
      <c r="H174" s="191">
        <f t="shared" si="45"/>
        <v>95.277207392197113</v>
      </c>
    </row>
    <row r="175" spans="1:8" ht="26.25" customHeight="1">
      <c r="A175" s="75" t="s">
        <v>489</v>
      </c>
      <c r="B175" s="187" t="s">
        <v>108</v>
      </c>
      <c r="C175" s="77">
        <v>1021</v>
      </c>
      <c r="D175" s="33">
        <f>SUM(D176:D177)</f>
        <v>13.100000000000001</v>
      </c>
      <c r="E175" s="33">
        <f>SUM(E176:E177)</f>
        <v>0</v>
      </c>
      <c r="F175" s="33">
        <f>SUM(F176:F177)</f>
        <v>0</v>
      </c>
      <c r="G175" s="188">
        <f t="shared" si="44"/>
        <v>0</v>
      </c>
      <c r="H175" s="188"/>
    </row>
    <row r="176" spans="1:8" ht="34.5" customHeight="1">
      <c r="A176" s="75"/>
      <c r="B176" s="62" t="s">
        <v>152</v>
      </c>
      <c r="C176" s="72"/>
      <c r="D176" s="30">
        <v>7.7</v>
      </c>
      <c r="E176" s="30"/>
      <c r="F176" s="30"/>
      <c r="G176" s="93">
        <f t="shared" si="44"/>
        <v>0</v>
      </c>
      <c r="H176" s="93"/>
    </row>
    <row r="177" spans="1:8" ht="26.25" customHeight="1">
      <c r="A177" s="75"/>
      <c r="B177" s="62" t="s">
        <v>146</v>
      </c>
      <c r="C177" s="72"/>
      <c r="D177" s="30">
        <v>5.4</v>
      </c>
      <c r="E177" s="30"/>
      <c r="F177" s="30"/>
      <c r="G177" s="93">
        <f t="shared" si="44"/>
        <v>0</v>
      </c>
      <c r="H177" s="93"/>
    </row>
    <row r="178" spans="1:8" ht="26.25" customHeight="1">
      <c r="A178" s="75" t="s">
        <v>546</v>
      </c>
      <c r="B178" s="116" t="s">
        <v>4</v>
      </c>
      <c r="C178" s="65">
        <v>1024</v>
      </c>
      <c r="D178" s="33">
        <v>72.3</v>
      </c>
      <c r="E178" s="33"/>
      <c r="F178" s="33"/>
      <c r="G178" s="188">
        <f>F178-E178</f>
        <v>0</v>
      </c>
      <c r="H178" s="188"/>
    </row>
    <row r="179" spans="1:8" ht="26.25" customHeight="1">
      <c r="A179" s="75" t="s">
        <v>490</v>
      </c>
      <c r="B179" s="195" t="s">
        <v>147</v>
      </c>
      <c r="C179" s="199">
        <v>1025</v>
      </c>
      <c r="D179" s="33">
        <f>SUM(D180:D191)</f>
        <v>23.4</v>
      </c>
      <c r="E179" s="33">
        <f>SUM(E180:E191)</f>
        <v>48.699999999999996</v>
      </c>
      <c r="F179" s="33">
        <f>SUM(F180:F191)</f>
        <v>46.399999999999991</v>
      </c>
      <c r="G179" s="188">
        <f t="shared" si="44"/>
        <v>-2.3000000000000043</v>
      </c>
      <c r="H179" s="188">
        <f t="shared" si="45"/>
        <v>95.277207392197113</v>
      </c>
    </row>
    <row r="180" spans="1:8" ht="26.25" customHeight="1">
      <c r="A180" s="75"/>
      <c r="B180" s="62" t="s">
        <v>145</v>
      </c>
      <c r="C180" s="72"/>
      <c r="D180" s="30">
        <v>1.1000000000000001</v>
      </c>
      <c r="E180" s="30"/>
      <c r="F180" s="30"/>
      <c r="G180" s="93">
        <f t="shared" si="44"/>
        <v>0</v>
      </c>
      <c r="H180" s="93"/>
    </row>
    <row r="181" spans="1:8" ht="26.25" customHeight="1">
      <c r="A181" s="75"/>
      <c r="B181" s="62" t="s">
        <v>360</v>
      </c>
      <c r="C181" s="72"/>
      <c r="D181" s="30">
        <v>4.5999999999999996</v>
      </c>
      <c r="E181" s="30">
        <v>2</v>
      </c>
      <c r="F181" s="30"/>
      <c r="G181" s="93">
        <f t="shared" si="44"/>
        <v>-2</v>
      </c>
      <c r="H181" s="93"/>
    </row>
    <row r="182" spans="1:8" ht="26.25" customHeight="1">
      <c r="A182" s="75"/>
      <c r="B182" s="62" t="s">
        <v>174</v>
      </c>
      <c r="C182" s="72"/>
      <c r="D182" s="30"/>
      <c r="E182" s="30"/>
      <c r="F182" s="30">
        <v>3.1</v>
      </c>
      <c r="G182" s="93">
        <f t="shared" si="44"/>
        <v>3.1</v>
      </c>
      <c r="H182" s="93"/>
    </row>
    <row r="183" spans="1:8" ht="26.25" customHeight="1">
      <c r="A183" s="75"/>
      <c r="B183" s="71" t="s">
        <v>181</v>
      </c>
      <c r="C183" s="72"/>
      <c r="D183" s="30">
        <v>2.2999999999999998</v>
      </c>
      <c r="E183" s="30"/>
      <c r="F183" s="30"/>
      <c r="G183" s="93">
        <f t="shared" si="44"/>
        <v>0</v>
      </c>
      <c r="H183" s="93"/>
    </row>
    <row r="184" spans="1:8" ht="26.25" customHeight="1">
      <c r="A184" s="75"/>
      <c r="B184" s="62" t="s">
        <v>163</v>
      </c>
      <c r="C184" s="72"/>
      <c r="D184" s="30"/>
      <c r="E184" s="30"/>
      <c r="F184" s="30">
        <f>0.3</f>
        <v>0.3</v>
      </c>
      <c r="G184" s="93">
        <f t="shared" si="44"/>
        <v>0.3</v>
      </c>
      <c r="H184" s="93"/>
    </row>
    <row r="185" spans="1:8" ht="26.25" customHeight="1">
      <c r="A185" s="75"/>
      <c r="B185" s="62" t="s">
        <v>388</v>
      </c>
      <c r="C185" s="72"/>
      <c r="D185" s="30">
        <v>4.8</v>
      </c>
      <c r="E185" s="30">
        <v>6.2</v>
      </c>
      <c r="F185" s="30">
        <f>3.6</f>
        <v>3.6</v>
      </c>
      <c r="G185" s="93">
        <f t="shared" si="44"/>
        <v>-2.6</v>
      </c>
      <c r="H185" s="93">
        <f t="shared" si="45"/>
        <v>58.064516129032263</v>
      </c>
    </row>
    <row r="186" spans="1:8" ht="26.25" customHeight="1">
      <c r="A186" s="75"/>
      <c r="B186" s="62" t="s">
        <v>164</v>
      </c>
      <c r="C186" s="72"/>
      <c r="D186" s="30">
        <v>6.3</v>
      </c>
      <c r="E186" s="30">
        <v>22.4</v>
      </c>
      <c r="F186" s="30">
        <f>12.4</f>
        <v>12.4</v>
      </c>
      <c r="G186" s="93">
        <f t="shared" si="44"/>
        <v>-9.9999999999999982</v>
      </c>
      <c r="H186" s="93">
        <f t="shared" si="45"/>
        <v>55.357142857142861</v>
      </c>
    </row>
    <row r="187" spans="1:8" ht="26.25" customHeight="1">
      <c r="A187" s="75"/>
      <c r="B187" s="63" t="s">
        <v>392</v>
      </c>
      <c r="C187" s="72"/>
      <c r="D187" s="30"/>
      <c r="E187" s="30"/>
      <c r="F187" s="30">
        <f>1.1+0.6</f>
        <v>1.7000000000000002</v>
      </c>
      <c r="G187" s="93">
        <f t="shared" si="44"/>
        <v>1.7000000000000002</v>
      </c>
      <c r="H187" s="93"/>
    </row>
    <row r="188" spans="1:8" ht="36" customHeight="1">
      <c r="A188" s="75"/>
      <c r="B188" s="218" t="s">
        <v>390</v>
      </c>
      <c r="C188" s="72"/>
      <c r="D188" s="30"/>
      <c r="E188" s="30">
        <v>16.7</v>
      </c>
      <c r="F188" s="30"/>
      <c r="G188" s="93">
        <f t="shared" si="44"/>
        <v>-16.7</v>
      </c>
      <c r="H188" s="93">
        <f t="shared" si="45"/>
        <v>0</v>
      </c>
    </row>
    <row r="189" spans="1:8" ht="26.25" customHeight="1">
      <c r="A189" s="75"/>
      <c r="B189" s="218" t="s">
        <v>389</v>
      </c>
      <c r="C189" s="72"/>
      <c r="D189" s="30"/>
      <c r="E189" s="30">
        <v>1.4</v>
      </c>
      <c r="F189" s="30">
        <f>1.4</f>
        <v>1.4</v>
      </c>
      <c r="G189" s="93">
        <f t="shared" si="44"/>
        <v>0</v>
      </c>
      <c r="H189" s="93">
        <f t="shared" si="45"/>
        <v>100</v>
      </c>
    </row>
    <row r="190" spans="1:8" ht="26.25" customHeight="1">
      <c r="A190" s="75"/>
      <c r="B190" s="62" t="s">
        <v>411</v>
      </c>
      <c r="C190" s="72"/>
      <c r="D190" s="30"/>
      <c r="E190" s="30"/>
      <c r="F190" s="30">
        <f>23.9</f>
        <v>23.9</v>
      </c>
      <c r="G190" s="93">
        <f t="shared" si="44"/>
        <v>23.9</v>
      </c>
      <c r="H190" s="93"/>
    </row>
    <row r="191" spans="1:8" ht="26.25" customHeight="1">
      <c r="A191" s="75"/>
      <c r="B191" s="64" t="s">
        <v>184</v>
      </c>
      <c r="C191" s="66"/>
      <c r="D191" s="30">
        <v>4.3</v>
      </c>
      <c r="E191" s="30"/>
      <c r="F191" s="30"/>
      <c r="G191" s="93">
        <f t="shared" si="44"/>
        <v>0</v>
      </c>
      <c r="H191" s="93"/>
    </row>
    <row r="192" spans="1:8" ht="26.25" customHeight="1">
      <c r="A192" s="98" t="s">
        <v>491</v>
      </c>
      <c r="B192" s="196" t="s">
        <v>92</v>
      </c>
      <c r="C192" s="94">
        <v>1030</v>
      </c>
      <c r="D192" s="156">
        <f>D193+D197</f>
        <v>10.199999999999999</v>
      </c>
      <c r="E192" s="156">
        <f>E193+E197</f>
        <v>92</v>
      </c>
      <c r="F192" s="156">
        <f>F193+F197</f>
        <v>1.9000000000000001</v>
      </c>
      <c r="G192" s="191">
        <f t="shared" si="44"/>
        <v>-90.1</v>
      </c>
      <c r="H192" s="191">
        <f t="shared" si="45"/>
        <v>2.0652173913043481</v>
      </c>
    </row>
    <row r="193" spans="1:8" ht="26.25" customHeight="1">
      <c r="A193" s="75" t="s">
        <v>492</v>
      </c>
      <c r="B193" s="187" t="s">
        <v>108</v>
      </c>
      <c r="C193" s="127">
        <v>1031</v>
      </c>
      <c r="D193" s="33">
        <f>SUM(D194:D196)</f>
        <v>5.8</v>
      </c>
      <c r="E193" s="33">
        <f>SUM(E194:E196)</f>
        <v>0</v>
      </c>
      <c r="F193" s="33">
        <f>SUM(F194:F196)</f>
        <v>0</v>
      </c>
      <c r="G193" s="188">
        <f t="shared" si="44"/>
        <v>0</v>
      </c>
      <c r="H193" s="188"/>
    </row>
    <row r="194" spans="1:8" ht="26.25" customHeight="1">
      <c r="A194" s="75"/>
      <c r="B194" s="63" t="s">
        <v>149</v>
      </c>
      <c r="C194" s="61"/>
      <c r="D194" s="30">
        <v>2.4</v>
      </c>
      <c r="E194" s="30"/>
      <c r="F194" s="30"/>
      <c r="G194" s="93">
        <f t="shared" si="44"/>
        <v>0</v>
      </c>
      <c r="H194" s="93"/>
    </row>
    <row r="195" spans="1:8" ht="26.25" customHeight="1">
      <c r="A195" s="75"/>
      <c r="B195" s="62" t="s">
        <v>158</v>
      </c>
      <c r="C195" s="61"/>
      <c r="D195" s="30">
        <v>1.1000000000000001</v>
      </c>
      <c r="E195" s="30"/>
      <c r="F195" s="30"/>
      <c r="G195" s="93">
        <f t="shared" si="44"/>
        <v>0</v>
      </c>
      <c r="H195" s="93"/>
    </row>
    <row r="196" spans="1:8" ht="39" customHeight="1">
      <c r="A196" s="75"/>
      <c r="B196" s="218" t="s">
        <v>144</v>
      </c>
      <c r="C196" s="61"/>
      <c r="D196" s="30">
        <v>2.2999999999999998</v>
      </c>
      <c r="E196" s="30"/>
      <c r="F196" s="30"/>
      <c r="G196" s="93">
        <f t="shared" si="44"/>
        <v>0</v>
      </c>
      <c r="H196" s="93"/>
    </row>
    <row r="197" spans="1:8" ht="26.25" customHeight="1">
      <c r="A197" s="75" t="s">
        <v>493</v>
      </c>
      <c r="B197" s="78" t="s">
        <v>92</v>
      </c>
      <c r="C197" s="199">
        <v>1035</v>
      </c>
      <c r="D197" s="33">
        <f>SUM(D198:D199)</f>
        <v>4.3999999999999995</v>
      </c>
      <c r="E197" s="33">
        <f>SUM(E198:E201)</f>
        <v>92</v>
      </c>
      <c r="F197" s="33">
        <f>SUM(F198:F201)</f>
        <v>1.9000000000000001</v>
      </c>
      <c r="G197" s="188">
        <f t="shared" si="44"/>
        <v>-90.1</v>
      </c>
      <c r="H197" s="188">
        <f t="shared" si="45"/>
        <v>2.0652173913043481</v>
      </c>
    </row>
    <row r="198" spans="1:8" ht="26.25" customHeight="1">
      <c r="A198" s="75"/>
      <c r="B198" s="62" t="s">
        <v>185</v>
      </c>
      <c r="C198" s="72"/>
      <c r="D198" s="30">
        <v>3.8</v>
      </c>
      <c r="E198" s="30"/>
      <c r="F198" s="30"/>
      <c r="G198" s="93">
        <f t="shared" si="44"/>
        <v>0</v>
      </c>
      <c r="H198" s="93"/>
    </row>
    <row r="199" spans="1:8" ht="26.25" customHeight="1">
      <c r="A199" s="75"/>
      <c r="B199" s="62" t="s">
        <v>186</v>
      </c>
      <c r="C199" s="72"/>
      <c r="D199" s="30">
        <v>0.6</v>
      </c>
      <c r="E199" s="30"/>
      <c r="F199" s="30">
        <f>0.3</f>
        <v>0.3</v>
      </c>
      <c r="G199" s="93">
        <f t="shared" si="44"/>
        <v>0.3</v>
      </c>
      <c r="H199" s="93"/>
    </row>
    <row r="200" spans="1:8" ht="26.25" customHeight="1">
      <c r="A200" s="75"/>
      <c r="B200" s="62" t="s">
        <v>396</v>
      </c>
      <c r="C200" s="72"/>
      <c r="D200" s="30"/>
      <c r="E200" s="30">
        <v>90.4</v>
      </c>
      <c r="F200" s="30"/>
      <c r="G200" s="93">
        <f t="shared" si="44"/>
        <v>-90.4</v>
      </c>
      <c r="H200" s="93">
        <f t="shared" si="45"/>
        <v>0</v>
      </c>
    </row>
    <row r="201" spans="1:8" ht="26.25" customHeight="1">
      <c r="A201" s="75"/>
      <c r="B201" s="62" t="s">
        <v>397</v>
      </c>
      <c r="C201" s="72"/>
      <c r="D201" s="30"/>
      <c r="E201" s="30">
        <v>1.6</v>
      </c>
      <c r="F201" s="30">
        <f>1.6</f>
        <v>1.6</v>
      </c>
      <c r="G201" s="93">
        <f t="shared" si="44"/>
        <v>0</v>
      </c>
      <c r="H201" s="93">
        <f t="shared" si="45"/>
        <v>100</v>
      </c>
    </row>
    <row r="202" spans="1:8" ht="46.5" customHeight="1">
      <c r="A202" s="73" t="s">
        <v>208</v>
      </c>
      <c r="B202" s="243" t="s">
        <v>532</v>
      </c>
      <c r="C202" s="242"/>
      <c r="D202" s="29">
        <f>D204</f>
        <v>38.4</v>
      </c>
      <c r="E202" s="30"/>
      <c r="F202" s="30"/>
      <c r="G202" s="93"/>
      <c r="H202" s="93"/>
    </row>
    <row r="203" spans="1:8" ht="26.25" customHeight="1">
      <c r="A203" s="75"/>
      <c r="B203" s="78" t="s">
        <v>85</v>
      </c>
      <c r="C203" s="68"/>
      <c r="D203" s="30"/>
      <c r="E203" s="30"/>
      <c r="F203" s="30"/>
      <c r="G203" s="93"/>
      <c r="H203" s="93"/>
    </row>
    <row r="204" spans="1:8" ht="26.25" customHeight="1">
      <c r="A204" s="98" t="s">
        <v>494</v>
      </c>
      <c r="B204" s="196" t="s">
        <v>89</v>
      </c>
      <c r="C204" s="94">
        <v>1010</v>
      </c>
      <c r="D204" s="156">
        <f>D205</f>
        <v>38.4</v>
      </c>
      <c r="E204" s="30"/>
      <c r="F204" s="30"/>
      <c r="G204" s="93"/>
      <c r="H204" s="93"/>
    </row>
    <row r="205" spans="1:8" ht="26.25" customHeight="1">
      <c r="A205" s="75" t="s">
        <v>547</v>
      </c>
      <c r="B205" s="92" t="s">
        <v>162</v>
      </c>
      <c r="C205" s="65">
        <v>1015</v>
      </c>
      <c r="D205" s="30">
        <f>D206</f>
        <v>38.4</v>
      </c>
      <c r="E205" s="30"/>
      <c r="F205" s="30"/>
      <c r="G205" s="93"/>
      <c r="H205" s="93"/>
    </row>
    <row r="206" spans="1:8" ht="26.25" customHeight="1">
      <c r="A206" s="75"/>
      <c r="B206" s="70" t="s">
        <v>443</v>
      </c>
      <c r="C206" s="65"/>
      <c r="D206" s="30">
        <v>38.4</v>
      </c>
      <c r="E206" s="30"/>
      <c r="F206" s="30"/>
      <c r="G206" s="93"/>
      <c r="H206" s="93"/>
    </row>
    <row r="207" spans="1:8" ht="26.25" customHeight="1">
      <c r="A207" s="73" t="s">
        <v>188</v>
      </c>
      <c r="B207" s="245" t="s">
        <v>105</v>
      </c>
      <c r="C207" s="89"/>
      <c r="D207" s="29">
        <f>D209+D222+D233</f>
        <v>12875.400000000001</v>
      </c>
      <c r="E207" s="29">
        <f>E209+E222+E233</f>
        <v>0</v>
      </c>
      <c r="F207" s="29">
        <f>F209+F222+F233</f>
        <v>0</v>
      </c>
      <c r="G207" s="91">
        <f>F207-E207</f>
        <v>0</v>
      </c>
      <c r="H207" s="91"/>
    </row>
    <row r="208" spans="1:8" ht="26.25" customHeight="1">
      <c r="A208" s="75"/>
      <c r="B208" s="78" t="s">
        <v>85</v>
      </c>
      <c r="C208" s="68"/>
      <c r="D208" s="30"/>
      <c r="E208" s="30"/>
      <c r="F208" s="30"/>
      <c r="G208" s="91"/>
      <c r="H208" s="91"/>
    </row>
    <row r="209" spans="1:8" ht="26.25" customHeight="1">
      <c r="A209" s="98" t="s">
        <v>548</v>
      </c>
      <c r="B209" s="196" t="s">
        <v>89</v>
      </c>
      <c r="C209" s="94">
        <v>1010</v>
      </c>
      <c r="D209" s="156">
        <f>D210+D218+D215+D216+D217</f>
        <v>11389.800000000001</v>
      </c>
      <c r="E209" s="156"/>
      <c r="F209" s="156"/>
      <c r="G209" s="191">
        <f t="shared" ref="G209:G242" si="46">F209-E209</f>
        <v>0</v>
      </c>
      <c r="H209" s="191"/>
    </row>
    <row r="210" spans="1:8" ht="26.25" customHeight="1">
      <c r="A210" s="75" t="s">
        <v>549</v>
      </c>
      <c r="B210" s="192" t="s">
        <v>79</v>
      </c>
      <c r="C210" s="65">
        <v>1011</v>
      </c>
      <c r="D210" s="33">
        <f>SUM(D211:D214)</f>
        <v>865.59999999999991</v>
      </c>
      <c r="E210" s="33"/>
      <c r="F210" s="33"/>
      <c r="G210" s="188">
        <f t="shared" si="46"/>
        <v>0</v>
      </c>
      <c r="H210" s="188"/>
    </row>
    <row r="211" spans="1:8" ht="26.25" customHeight="1">
      <c r="A211" s="75"/>
      <c r="B211" s="62" t="s">
        <v>159</v>
      </c>
      <c r="C211" s="66"/>
      <c r="D211" s="30">
        <v>7.7</v>
      </c>
      <c r="E211" s="30"/>
      <c r="F211" s="30"/>
      <c r="G211" s="93">
        <f t="shared" si="46"/>
        <v>0</v>
      </c>
      <c r="H211" s="93"/>
    </row>
    <row r="212" spans="1:8" ht="26.25" customHeight="1">
      <c r="A212" s="75"/>
      <c r="B212" s="62" t="s">
        <v>160</v>
      </c>
      <c r="C212" s="66"/>
      <c r="D212" s="30">
        <v>2.1</v>
      </c>
      <c r="E212" s="30"/>
      <c r="F212" s="30"/>
      <c r="G212" s="93">
        <f t="shared" si="46"/>
        <v>0</v>
      </c>
      <c r="H212" s="93"/>
    </row>
    <row r="213" spans="1:8" ht="26.25" customHeight="1">
      <c r="A213" s="75"/>
      <c r="B213" s="64" t="s">
        <v>161</v>
      </c>
      <c r="C213" s="66"/>
      <c r="D213" s="30">
        <f>784.9-42</f>
        <v>742.9</v>
      </c>
      <c r="E213" s="30"/>
      <c r="F213" s="30"/>
      <c r="G213" s="93">
        <f t="shared" si="46"/>
        <v>0</v>
      </c>
      <c r="H213" s="93"/>
    </row>
    <row r="214" spans="1:8" ht="26.25" customHeight="1">
      <c r="A214" s="75"/>
      <c r="B214" s="62" t="s">
        <v>141</v>
      </c>
      <c r="C214" s="66"/>
      <c r="D214" s="30">
        <v>112.9</v>
      </c>
      <c r="E214" s="30"/>
      <c r="F214" s="30"/>
      <c r="G214" s="93">
        <f t="shared" si="46"/>
        <v>0</v>
      </c>
      <c r="H214" s="93"/>
    </row>
    <row r="215" spans="1:8" ht="26.25" customHeight="1">
      <c r="A215" s="75" t="s">
        <v>465</v>
      </c>
      <c r="B215" s="76" t="s">
        <v>2</v>
      </c>
      <c r="C215" s="127">
        <v>1012</v>
      </c>
      <c r="D215" s="33">
        <v>8554.1</v>
      </c>
      <c r="E215" s="33"/>
      <c r="F215" s="33"/>
      <c r="G215" s="188">
        <f t="shared" si="46"/>
        <v>0</v>
      </c>
      <c r="H215" s="188"/>
    </row>
    <row r="216" spans="1:8" ht="26.25" customHeight="1">
      <c r="A216" s="75" t="s">
        <v>464</v>
      </c>
      <c r="B216" s="76" t="s">
        <v>3</v>
      </c>
      <c r="C216" s="127">
        <v>1013</v>
      </c>
      <c r="D216" s="33">
        <v>1833.2</v>
      </c>
      <c r="E216" s="33"/>
      <c r="F216" s="33"/>
      <c r="G216" s="188">
        <f t="shared" si="46"/>
        <v>0</v>
      </c>
      <c r="H216" s="188"/>
    </row>
    <row r="217" spans="1:8" ht="26.25" customHeight="1">
      <c r="A217" s="75" t="s">
        <v>550</v>
      </c>
      <c r="B217" s="76" t="s">
        <v>4</v>
      </c>
      <c r="C217" s="77">
        <v>1014</v>
      </c>
      <c r="D217" s="33">
        <v>42</v>
      </c>
      <c r="E217" s="33"/>
      <c r="F217" s="33"/>
      <c r="G217" s="188">
        <f t="shared" si="46"/>
        <v>0</v>
      </c>
      <c r="H217" s="188"/>
    </row>
    <row r="218" spans="1:8" ht="26.25" customHeight="1">
      <c r="A218" s="75" t="s">
        <v>551</v>
      </c>
      <c r="B218" s="92" t="s">
        <v>162</v>
      </c>
      <c r="C218" s="65">
        <v>1015</v>
      </c>
      <c r="D218" s="33">
        <f>SUM(D219:D221)</f>
        <v>94.9</v>
      </c>
      <c r="E218" s="33"/>
      <c r="F218" s="33"/>
      <c r="G218" s="188">
        <f t="shared" si="46"/>
        <v>0</v>
      </c>
      <c r="H218" s="188"/>
    </row>
    <row r="219" spans="1:8" ht="26.25" customHeight="1">
      <c r="A219" s="75"/>
      <c r="B219" s="64" t="s">
        <v>157</v>
      </c>
      <c r="C219" s="66"/>
      <c r="D219" s="30">
        <v>49.6</v>
      </c>
      <c r="E219" s="30"/>
      <c r="F219" s="30"/>
      <c r="G219" s="93">
        <f t="shared" si="46"/>
        <v>0</v>
      </c>
      <c r="H219" s="93"/>
    </row>
    <row r="220" spans="1:8" ht="26.25" customHeight="1">
      <c r="A220" s="75"/>
      <c r="B220" s="63" t="s">
        <v>143</v>
      </c>
      <c r="C220" s="66"/>
      <c r="D220" s="30">
        <v>13.7</v>
      </c>
      <c r="E220" s="30"/>
      <c r="F220" s="30"/>
      <c r="G220" s="93">
        <f t="shared" si="46"/>
        <v>0</v>
      </c>
      <c r="H220" s="93"/>
    </row>
    <row r="221" spans="1:8" ht="41.25" customHeight="1">
      <c r="A221" s="75"/>
      <c r="B221" s="62" t="s">
        <v>144</v>
      </c>
      <c r="C221" s="66"/>
      <c r="D221" s="30">
        <v>31.6</v>
      </c>
      <c r="E221" s="30"/>
      <c r="F221" s="30"/>
      <c r="G221" s="93">
        <f t="shared" si="46"/>
        <v>0</v>
      </c>
      <c r="H221" s="93"/>
    </row>
    <row r="222" spans="1:8" ht="26.25" customHeight="1">
      <c r="A222" s="98" t="s">
        <v>552</v>
      </c>
      <c r="B222" s="196" t="s">
        <v>91</v>
      </c>
      <c r="C222" s="94">
        <v>1020</v>
      </c>
      <c r="D222" s="156">
        <f>D223+D229+D227+D228</f>
        <v>1288.1000000000001</v>
      </c>
      <c r="E222" s="156">
        <f>E223+E229</f>
        <v>0</v>
      </c>
      <c r="F222" s="156">
        <f>F223+F229</f>
        <v>0</v>
      </c>
      <c r="G222" s="191">
        <f t="shared" si="46"/>
        <v>0</v>
      </c>
      <c r="H222" s="191"/>
    </row>
    <row r="223" spans="1:8" ht="26.25" customHeight="1">
      <c r="A223" s="75" t="s">
        <v>553</v>
      </c>
      <c r="B223" s="92" t="s">
        <v>68</v>
      </c>
      <c r="C223" s="129">
        <v>1021</v>
      </c>
      <c r="D223" s="33">
        <f>SUM(D224:D226)</f>
        <v>62.199999999999996</v>
      </c>
      <c r="E223" s="33">
        <f>SUM(E224:E228)</f>
        <v>0</v>
      </c>
      <c r="F223" s="33">
        <f>SUM(F224:F228)</f>
        <v>0</v>
      </c>
      <c r="G223" s="188">
        <f t="shared" si="46"/>
        <v>0</v>
      </c>
      <c r="H223" s="188"/>
    </row>
    <row r="224" spans="1:8" ht="40.5" customHeight="1">
      <c r="A224" s="75"/>
      <c r="B224" s="62" t="s">
        <v>152</v>
      </c>
      <c r="C224" s="66"/>
      <c r="D224" s="30">
        <v>8.1</v>
      </c>
      <c r="E224" s="30"/>
      <c r="F224" s="30"/>
      <c r="G224" s="93">
        <f t="shared" si="46"/>
        <v>0</v>
      </c>
      <c r="H224" s="93"/>
    </row>
    <row r="225" spans="1:8" ht="26.25" customHeight="1">
      <c r="A225" s="75"/>
      <c r="B225" s="62" t="s">
        <v>159</v>
      </c>
      <c r="C225" s="66"/>
      <c r="D225" s="30">
        <v>10.3</v>
      </c>
      <c r="E225" s="30"/>
      <c r="F225" s="30"/>
      <c r="G225" s="93">
        <f t="shared" si="46"/>
        <v>0</v>
      </c>
      <c r="H225" s="93"/>
    </row>
    <row r="226" spans="1:8" ht="26.25" customHeight="1">
      <c r="A226" s="75"/>
      <c r="B226" s="70" t="s">
        <v>146</v>
      </c>
      <c r="C226" s="66"/>
      <c r="D226" s="30">
        <v>43.8</v>
      </c>
      <c r="E226" s="30"/>
      <c r="F226" s="30"/>
      <c r="G226" s="93">
        <f t="shared" si="46"/>
        <v>0</v>
      </c>
      <c r="H226" s="93"/>
    </row>
    <row r="227" spans="1:8" ht="26.25" customHeight="1">
      <c r="A227" s="75" t="s">
        <v>554</v>
      </c>
      <c r="B227" s="76" t="s">
        <v>2</v>
      </c>
      <c r="C227" s="127">
        <v>1022</v>
      </c>
      <c r="D227" s="33">
        <v>986.4</v>
      </c>
      <c r="E227" s="33"/>
      <c r="F227" s="33"/>
      <c r="G227" s="188">
        <f t="shared" si="46"/>
        <v>0</v>
      </c>
      <c r="H227" s="188"/>
    </row>
    <row r="228" spans="1:8" ht="26.25" customHeight="1">
      <c r="A228" s="75" t="s">
        <v>555</v>
      </c>
      <c r="B228" s="76" t="s">
        <v>3</v>
      </c>
      <c r="C228" s="127">
        <v>1023</v>
      </c>
      <c r="D228" s="33">
        <v>227.7</v>
      </c>
      <c r="E228" s="33"/>
      <c r="F228" s="33"/>
      <c r="G228" s="188">
        <f t="shared" si="46"/>
        <v>0</v>
      </c>
      <c r="H228" s="188"/>
    </row>
    <row r="229" spans="1:8" ht="26.25" customHeight="1">
      <c r="A229" s="75" t="s">
        <v>556</v>
      </c>
      <c r="B229" s="195" t="s">
        <v>147</v>
      </c>
      <c r="C229" s="127">
        <v>1025</v>
      </c>
      <c r="D229" s="33">
        <f>SUM(D230:D232)</f>
        <v>11.8</v>
      </c>
      <c r="E229" s="33"/>
      <c r="F229" s="33"/>
      <c r="G229" s="188">
        <f t="shared" si="46"/>
        <v>0</v>
      </c>
      <c r="H229" s="188"/>
    </row>
    <row r="230" spans="1:8" ht="26.25" customHeight="1">
      <c r="A230" s="75"/>
      <c r="B230" s="62" t="s">
        <v>163</v>
      </c>
      <c r="C230" s="66"/>
      <c r="D230" s="30">
        <v>0.9</v>
      </c>
      <c r="E230" s="30"/>
      <c r="F230" s="30"/>
      <c r="G230" s="93">
        <f t="shared" si="46"/>
        <v>0</v>
      </c>
      <c r="H230" s="93"/>
    </row>
    <row r="231" spans="1:8" ht="26.25" customHeight="1">
      <c r="A231" s="75"/>
      <c r="B231" s="62" t="s">
        <v>164</v>
      </c>
      <c r="C231" s="66"/>
      <c r="D231" s="30">
        <v>5.4</v>
      </c>
      <c r="E231" s="30"/>
      <c r="F231" s="30"/>
      <c r="G231" s="93">
        <f t="shared" si="46"/>
        <v>0</v>
      </c>
      <c r="H231" s="93"/>
    </row>
    <row r="232" spans="1:8" ht="26.25" customHeight="1">
      <c r="A232" s="75"/>
      <c r="B232" s="62" t="s">
        <v>145</v>
      </c>
      <c r="C232" s="66"/>
      <c r="D232" s="30">
        <v>5.5</v>
      </c>
      <c r="E232" s="30"/>
      <c r="F232" s="30"/>
      <c r="G232" s="93">
        <f t="shared" si="46"/>
        <v>0</v>
      </c>
      <c r="H232" s="93"/>
    </row>
    <row r="233" spans="1:8" ht="26.25" customHeight="1">
      <c r="A233" s="98" t="s">
        <v>557</v>
      </c>
      <c r="B233" s="196" t="s">
        <v>92</v>
      </c>
      <c r="C233" s="94">
        <v>1030</v>
      </c>
      <c r="D233" s="156">
        <f>D234+D241+D239+D240</f>
        <v>197.5</v>
      </c>
      <c r="E233" s="156"/>
      <c r="F233" s="156"/>
      <c r="G233" s="191">
        <f t="shared" si="46"/>
        <v>0</v>
      </c>
      <c r="H233" s="191"/>
    </row>
    <row r="234" spans="1:8" ht="26.25" customHeight="1">
      <c r="A234" s="75" t="s">
        <v>558</v>
      </c>
      <c r="B234" s="187" t="s">
        <v>108</v>
      </c>
      <c r="C234" s="77">
        <v>1031</v>
      </c>
      <c r="D234" s="33">
        <f>SUM(D235:D238)</f>
        <v>105.4</v>
      </c>
      <c r="E234" s="33"/>
      <c r="F234" s="33"/>
      <c r="G234" s="188">
        <f t="shared" si="46"/>
        <v>0</v>
      </c>
      <c r="H234" s="188"/>
    </row>
    <row r="235" spans="1:8" ht="26.25" customHeight="1">
      <c r="A235" s="75"/>
      <c r="B235" s="64" t="s">
        <v>149</v>
      </c>
      <c r="C235" s="66"/>
      <c r="D235" s="30">
        <v>73.7</v>
      </c>
      <c r="E235" s="30"/>
      <c r="F235" s="30"/>
      <c r="G235" s="93">
        <f t="shared" si="46"/>
        <v>0</v>
      </c>
      <c r="H235" s="93"/>
    </row>
    <row r="236" spans="1:8" ht="35.25" customHeight="1">
      <c r="A236" s="75"/>
      <c r="B236" s="62" t="s">
        <v>152</v>
      </c>
      <c r="C236" s="68"/>
      <c r="D236" s="30">
        <v>1.8</v>
      </c>
      <c r="E236" s="30"/>
      <c r="F236" s="30"/>
      <c r="G236" s="93">
        <f t="shared" si="46"/>
        <v>0</v>
      </c>
      <c r="H236" s="93"/>
    </row>
    <row r="237" spans="1:8" ht="26.25" customHeight="1">
      <c r="A237" s="75"/>
      <c r="B237" s="62" t="s">
        <v>159</v>
      </c>
      <c r="C237" s="68"/>
      <c r="D237" s="30">
        <v>0.2</v>
      </c>
      <c r="E237" s="30"/>
      <c r="F237" s="30"/>
      <c r="G237" s="93">
        <f t="shared" si="46"/>
        <v>0</v>
      </c>
      <c r="H237" s="93"/>
    </row>
    <row r="238" spans="1:8" ht="26.25" customHeight="1">
      <c r="A238" s="75"/>
      <c r="B238" s="63" t="s">
        <v>146</v>
      </c>
      <c r="C238" s="61"/>
      <c r="D238" s="30">
        <v>29.7</v>
      </c>
      <c r="E238" s="30"/>
      <c r="F238" s="30"/>
      <c r="G238" s="93">
        <f t="shared" si="46"/>
        <v>0</v>
      </c>
      <c r="H238" s="93"/>
    </row>
    <row r="239" spans="1:8" ht="26.25" customHeight="1">
      <c r="A239" s="75" t="s">
        <v>559</v>
      </c>
      <c r="B239" s="201" t="s">
        <v>2</v>
      </c>
      <c r="C239" s="127">
        <v>1032</v>
      </c>
      <c r="D239" s="33">
        <v>59.4</v>
      </c>
      <c r="E239" s="33"/>
      <c r="F239" s="33"/>
      <c r="G239" s="188">
        <f t="shared" si="46"/>
        <v>0</v>
      </c>
      <c r="H239" s="188"/>
    </row>
    <row r="240" spans="1:8" ht="26.25" customHeight="1">
      <c r="A240" s="75" t="s">
        <v>560</v>
      </c>
      <c r="B240" s="201" t="s">
        <v>3</v>
      </c>
      <c r="C240" s="127">
        <v>1033</v>
      </c>
      <c r="D240" s="33">
        <v>13.1</v>
      </c>
      <c r="E240" s="33"/>
      <c r="F240" s="33"/>
      <c r="G240" s="188">
        <f t="shared" si="46"/>
        <v>0</v>
      </c>
      <c r="H240" s="188"/>
    </row>
    <row r="241" spans="1:8" ht="26.25" customHeight="1">
      <c r="A241" s="75" t="s">
        <v>561</v>
      </c>
      <c r="B241" s="192" t="s">
        <v>92</v>
      </c>
      <c r="C241" s="65">
        <v>1035</v>
      </c>
      <c r="D241" s="33">
        <f>D242</f>
        <v>19.600000000000001</v>
      </c>
      <c r="E241" s="33"/>
      <c r="F241" s="33"/>
      <c r="G241" s="188">
        <f t="shared" si="46"/>
        <v>0</v>
      </c>
      <c r="H241" s="188"/>
    </row>
    <row r="242" spans="1:8" ht="26.25" customHeight="1">
      <c r="A242" s="75"/>
      <c r="B242" s="63" t="s">
        <v>150</v>
      </c>
      <c r="C242" s="68"/>
      <c r="D242" s="30">
        <v>19.600000000000001</v>
      </c>
      <c r="E242" s="30"/>
      <c r="F242" s="30"/>
      <c r="G242" s="93">
        <f t="shared" si="46"/>
        <v>0</v>
      </c>
      <c r="H242" s="93"/>
    </row>
    <row r="243" spans="1:8" ht="36" customHeight="1">
      <c r="A243" s="73" t="s">
        <v>196</v>
      </c>
      <c r="B243" s="97" t="s">
        <v>412</v>
      </c>
      <c r="C243" s="89"/>
      <c r="D243" s="29">
        <f>D245</f>
        <v>42</v>
      </c>
      <c r="E243" s="29"/>
      <c r="F243" s="29">
        <f>F245+F251</f>
        <v>172.59999999999997</v>
      </c>
      <c r="G243" s="91">
        <f>F243-E243</f>
        <v>172.59999999999997</v>
      </c>
      <c r="H243" s="91"/>
    </row>
    <row r="244" spans="1:8" ht="26.25" customHeight="1">
      <c r="A244" s="75"/>
      <c r="B244" s="78" t="s">
        <v>85</v>
      </c>
      <c r="C244" s="68"/>
      <c r="D244" s="30"/>
      <c r="E244" s="30"/>
      <c r="F244" s="30"/>
      <c r="G244" s="93"/>
      <c r="H244" s="93"/>
    </row>
    <row r="245" spans="1:8" ht="26.25" customHeight="1">
      <c r="A245" s="98" t="s">
        <v>495</v>
      </c>
      <c r="B245" s="196" t="s">
        <v>89</v>
      </c>
      <c r="C245" s="94">
        <v>1010</v>
      </c>
      <c r="D245" s="156">
        <f>D246+D257+D254+D255+D256</f>
        <v>42</v>
      </c>
      <c r="E245" s="156"/>
      <c r="F245" s="156">
        <f>F246</f>
        <v>170.49999999999997</v>
      </c>
      <c r="G245" s="191">
        <f t="shared" ref="G245:G253" si="47">F245-E245</f>
        <v>170.49999999999997</v>
      </c>
      <c r="H245" s="191"/>
    </row>
    <row r="246" spans="1:8" ht="26.25" customHeight="1">
      <c r="A246" s="75" t="s">
        <v>496</v>
      </c>
      <c r="B246" s="192" t="s">
        <v>79</v>
      </c>
      <c r="C246" s="65">
        <v>1011</v>
      </c>
      <c r="D246" s="33">
        <f>SUM(D247:D250)</f>
        <v>42</v>
      </c>
      <c r="E246" s="33"/>
      <c r="F246" s="33">
        <f>SUM(F247:F250)</f>
        <v>170.49999999999997</v>
      </c>
      <c r="G246" s="188">
        <f t="shared" si="47"/>
        <v>170.49999999999997</v>
      </c>
      <c r="H246" s="188"/>
    </row>
    <row r="247" spans="1:8" ht="26.25" customHeight="1">
      <c r="A247" s="75"/>
      <c r="B247" s="123" t="s">
        <v>161</v>
      </c>
      <c r="C247" s="68"/>
      <c r="D247" s="30">
        <v>42</v>
      </c>
      <c r="E247" s="30"/>
      <c r="F247" s="30">
        <f>87.1+23.2</f>
        <v>110.3</v>
      </c>
      <c r="G247" s="93">
        <f t="shared" si="47"/>
        <v>110.3</v>
      </c>
      <c r="H247" s="93"/>
    </row>
    <row r="248" spans="1:8" ht="26.25" customHeight="1">
      <c r="A248" s="75"/>
      <c r="B248" s="123" t="s">
        <v>141</v>
      </c>
      <c r="C248" s="68"/>
      <c r="D248" s="30"/>
      <c r="E248" s="30"/>
      <c r="F248" s="30">
        <f>20.5+2.9</f>
        <v>23.4</v>
      </c>
      <c r="G248" s="93">
        <f t="shared" si="47"/>
        <v>23.4</v>
      </c>
      <c r="H248" s="93"/>
    </row>
    <row r="249" spans="1:8" ht="26.25" customHeight="1">
      <c r="A249" s="75"/>
      <c r="B249" s="123" t="s">
        <v>364</v>
      </c>
      <c r="C249" s="68"/>
      <c r="D249" s="30"/>
      <c r="E249" s="30"/>
      <c r="F249" s="30">
        <v>26.7</v>
      </c>
      <c r="G249" s="93">
        <f t="shared" si="47"/>
        <v>26.7</v>
      </c>
      <c r="H249" s="93"/>
    </row>
    <row r="250" spans="1:8" ht="37.5" customHeight="1">
      <c r="A250" s="75"/>
      <c r="B250" s="84" t="s">
        <v>152</v>
      </c>
      <c r="C250" s="68"/>
      <c r="D250" s="30"/>
      <c r="E250" s="30"/>
      <c r="F250" s="30">
        <v>10.1</v>
      </c>
      <c r="G250" s="93">
        <f t="shared" si="47"/>
        <v>10.1</v>
      </c>
      <c r="H250" s="93"/>
    </row>
    <row r="251" spans="1:8" ht="27.75" customHeight="1">
      <c r="A251" s="98" t="s">
        <v>497</v>
      </c>
      <c r="B251" s="196" t="s">
        <v>91</v>
      </c>
      <c r="C251" s="94">
        <v>1020</v>
      </c>
      <c r="D251" s="156"/>
      <c r="E251" s="156"/>
      <c r="F251" s="156">
        <f>F252</f>
        <v>2.1</v>
      </c>
      <c r="G251" s="191">
        <f t="shared" si="47"/>
        <v>2.1</v>
      </c>
      <c r="H251" s="191"/>
    </row>
    <row r="252" spans="1:8" ht="30" customHeight="1">
      <c r="A252" s="75" t="s">
        <v>562</v>
      </c>
      <c r="B252" s="92" t="s">
        <v>108</v>
      </c>
      <c r="C252" s="129">
        <v>1021</v>
      </c>
      <c r="D252" s="33"/>
      <c r="E252" s="33"/>
      <c r="F252" s="33">
        <f>F253</f>
        <v>2.1</v>
      </c>
      <c r="G252" s="188">
        <f t="shared" si="47"/>
        <v>2.1</v>
      </c>
      <c r="H252" s="188"/>
    </row>
    <row r="253" spans="1:8" ht="43.5" customHeight="1">
      <c r="A253" s="75"/>
      <c r="B253" s="62" t="s">
        <v>152</v>
      </c>
      <c r="C253" s="66"/>
      <c r="D253" s="30"/>
      <c r="E253" s="30"/>
      <c r="F253" s="30">
        <v>2.1</v>
      </c>
      <c r="G253" s="93">
        <f t="shared" si="47"/>
        <v>2.1</v>
      </c>
      <c r="H253" s="93"/>
    </row>
    <row r="254" spans="1:8" ht="39.75" customHeight="1">
      <c r="A254" s="246" t="s">
        <v>198</v>
      </c>
      <c r="B254" s="247" t="s">
        <v>362</v>
      </c>
      <c r="C254" s="244"/>
      <c r="D254" s="30"/>
      <c r="E254" s="29">
        <f>E256</f>
        <v>53.7</v>
      </c>
      <c r="F254" s="29">
        <f>F256</f>
        <v>41.7</v>
      </c>
      <c r="G254" s="91">
        <f>F254-E254</f>
        <v>-12</v>
      </c>
      <c r="H254" s="91">
        <f>F254/E254*100</f>
        <v>77.653631284916202</v>
      </c>
    </row>
    <row r="255" spans="1:8" ht="26.25" customHeight="1">
      <c r="A255" s="124"/>
      <c r="B255" s="78" t="s">
        <v>85</v>
      </c>
      <c r="C255" s="125"/>
      <c r="D255" s="30"/>
      <c r="E255" s="30"/>
      <c r="F255" s="29"/>
      <c r="G255" s="93"/>
      <c r="H255" s="93"/>
    </row>
    <row r="256" spans="1:8" ht="26.25" customHeight="1">
      <c r="A256" s="202" t="s">
        <v>498</v>
      </c>
      <c r="B256" s="203" t="s">
        <v>89</v>
      </c>
      <c r="C256" s="194">
        <v>1010</v>
      </c>
      <c r="D256" s="156"/>
      <c r="E256" s="156">
        <f>E257+E258</f>
        <v>53.7</v>
      </c>
      <c r="F256" s="156">
        <f>F257+F258</f>
        <v>41.7</v>
      </c>
      <c r="G256" s="191">
        <f t="shared" ref="G256:G258" si="48">F256-E256</f>
        <v>-12</v>
      </c>
      <c r="H256" s="191">
        <f t="shared" ref="H256:H258" si="49">(F256/E256)*100</f>
        <v>77.653631284916202</v>
      </c>
    </row>
    <row r="257" spans="1:8" ht="26.25" customHeight="1">
      <c r="A257" s="126" t="s">
        <v>563</v>
      </c>
      <c r="B257" s="201" t="s">
        <v>2</v>
      </c>
      <c r="C257" s="127">
        <v>1012</v>
      </c>
      <c r="D257" s="33"/>
      <c r="E257" s="33">
        <v>44</v>
      </c>
      <c r="F257" s="33">
        <f>34.2</f>
        <v>34.200000000000003</v>
      </c>
      <c r="G257" s="188">
        <f t="shared" si="48"/>
        <v>-9.7999999999999972</v>
      </c>
      <c r="H257" s="188">
        <f t="shared" si="49"/>
        <v>77.727272727272734</v>
      </c>
    </row>
    <row r="258" spans="1:8" ht="26.25" customHeight="1">
      <c r="A258" s="126" t="s">
        <v>564</v>
      </c>
      <c r="B258" s="201" t="s">
        <v>3</v>
      </c>
      <c r="C258" s="127">
        <v>1013</v>
      </c>
      <c r="D258" s="33"/>
      <c r="E258" s="33">
        <v>9.6999999999999993</v>
      </c>
      <c r="F258" s="33">
        <v>7.5</v>
      </c>
      <c r="G258" s="188">
        <f t="shared" si="48"/>
        <v>-2.1999999999999993</v>
      </c>
      <c r="H258" s="188">
        <f t="shared" si="49"/>
        <v>77.319587628865989</v>
      </c>
    </row>
    <row r="259" spans="1:8" ht="26.25" customHeight="1">
      <c r="A259" s="73" t="s">
        <v>199</v>
      </c>
      <c r="B259" s="243" t="s">
        <v>165</v>
      </c>
      <c r="C259" s="68"/>
      <c r="D259" s="29">
        <f>D261+D282+D288</f>
        <v>7669.0999999999995</v>
      </c>
      <c r="E259" s="29">
        <f>E261+E282+E288</f>
        <v>9820.2999999999993</v>
      </c>
      <c r="F259" s="29">
        <f>F261+F282+F288</f>
        <v>10697.4</v>
      </c>
      <c r="G259" s="91">
        <f>F259-E259</f>
        <v>877.10000000000036</v>
      </c>
      <c r="H259" s="91">
        <f>(F259/E259)*100</f>
        <v>108.9314990377076</v>
      </c>
    </row>
    <row r="260" spans="1:8" ht="26.25" customHeight="1">
      <c r="A260" s="75"/>
      <c r="B260" s="64" t="s">
        <v>85</v>
      </c>
      <c r="C260" s="68"/>
      <c r="D260" s="30"/>
      <c r="E260" s="30"/>
      <c r="F260" s="30"/>
      <c r="G260" s="91"/>
      <c r="H260" s="91"/>
    </row>
    <row r="261" spans="1:8" ht="26.25" customHeight="1">
      <c r="A261" s="98" t="s">
        <v>499</v>
      </c>
      <c r="B261" s="196" t="s">
        <v>89</v>
      </c>
      <c r="C261" s="94">
        <v>1010</v>
      </c>
      <c r="D261" s="156">
        <f>D262+D273+D270+D271+D272</f>
        <v>7549.2999999999993</v>
      </c>
      <c r="E261" s="156">
        <f>E262+E273+E270+E271</f>
        <v>9765.5</v>
      </c>
      <c r="F261" s="156">
        <f>F262+F273+F270+F271</f>
        <v>10686.3</v>
      </c>
      <c r="G261" s="191">
        <f>F261-E261</f>
        <v>920.79999999999927</v>
      </c>
      <c r="H261" s="191">
        <f>(F261/E261)*100</f>
        <v>109.42911269264246</v>
      </c>
    </row>
    <row r="262" spans="1:8" ht="26.25" customHeight="1">
      <c r="A262" s="75" t="s">
        <v>565</v>
      </c>
      <c r="B262" s="187" t="s">
        <v>108</v>
      </c>
      <c r="C262" s="77">
        <v>1011</v>
      </c>
      <c r="D262" s="33">
        <f>SUM(D263:D269)</f>
        <v>2361.2999999999997</v>
      </c>
      <c r="E262" s="33">
        <f>SUM(E263:E269)</f>
        <v>4310.8</v>
      </c>
      <c r="F262" s="33">
        <f>SUM(F263:F269)</f>
        <v>4892.9000000000005</v>
      </c>
      <c r="G262" s="188">
        <f t="shared" ref="G262:G280" si="50">F262-E262</f>
        <v>582.10000000000036</v>
      </c>
      <c r="H262" s="188">
        <f t="shared" ref="H262:H278" si="51">(F262/E262)*100</f>
        <v>113.50329405214809</v>
      </c>
    </row>
    <row r="263" spans="1:8" ht="26.25" customHeight="1">
      <c r="A263" s="75"/>
      <c r="B263" s="62" t="s">
        <v>166</v>
      </c>
      <c r="C263" s="66"/>
      <c r="D263" s="30">
        <f>1642.2-515.2</f>
        <v>1127</v>
      </c>
      <c r="E263" s="30">
        <v>3000</v>
      </c>
      <c r="F263" s="30">
        <f>3531.4-841.9</f>
        <v>2689.5</v>
      </c>
      <c r="G263" s="93">
        <f t="shared" si="50"/>
        <v>-310.5</v>
      </c>
      <c r="H263" s="93">
        <f t="shared" si="51"/>
        <v>89.649999999999991</v>
      </c>
    </row>
    <row r="264" spans="1:8" ht="26.25" customHeight="1">
      <c r="A264" s="75"/>
      <c r="B264" s="62" t="s">
        <v>167</v>
      </c>
      <c r="C264" s="66"/>
      <c r="D264" s="30">
        <v>179.5</v>
      </c>
      <c r="E264" s="30">
        <v>405.1</v>
      </c>
      <c r="F264" s="30">
        <f>164.3-63.9</f>
        <v>100.4</v>
      </c>
      <c r="G264" s="93">
        <f t="shared" si="50"/>
        <v>-304.70000000000005</v>
      </c>
      <c r="H264" s="93">
        <f t="shared" si="51"/>
        <v>24.784003949642063</v>
      </c>
    </row>
    <row r="265" spans="1:8" ht="26.25" customHeight="1">
      <c r="A265" s="75"/>
      <c r="B265" s="60" t="s">
        <v>168</v>
      </c>
      <c r="C265" s="66"/>
      <c r="D265" s="30">
        <v>818.5</v>
      </c>
      <c r="E265" s="30">
        <v>905.7</v>
      </c>
      <c r="F265" s="30">
        <f>2202.3-105.5</f>
        <v>2096.8000000000002</v>
      </c>
      <c r="G265" s="93">
        <f t="shared" si="50"/>
        <v>1191.1000000000001</v>
      </c>
      <c r="H265" s="93">
        <f t="shared" si="51"/>
        <v>231.51153803687757</v>
      </c>
    </row>
    <row r="266" spans="1:8" ht="26.25" customHeight="1">
      <c r="A266" s="75"/>
      <c r="B266" s="60" t="s">
        <v>140</v>
      </c>
      <c r="C266" s="66"/>
      <c r="D266" s="30">
        <v>31.2</v>
      </c>
      <c r="E266" s="30"/>
      <c r="F266" s="30"/>
      <c r="G266" s="93">
        <f t="shared" si="50"/>
        <v>0</v>
      </c>
      <c r="H266" s="93"/>
    </row>
    <row r="267" spans="1:8" ht="26.25" customHeight="1">
      <c r="A267" s="75"/>
      <c r="B267" s="63" t="s">
        <v>169</v>
      </c>
      <c r="C267" s="66"/>
      <c r="D267" s="30">
        <v>100</v>
      </c>
      <c r="E267" s="30"/>
      <c r="F267" s="30">
        <f>47.2-41</f>
        <v>6.2000000000000028</v>
      </c>
      <c r="G267" s="93">
        <f t="shared" si="50"/>
        <v>6.2000000000000028</v>
      </c>
      <c r="H267" s="93"/>
    </row>
    <row r="268" spans="1:8" ht="26.25" customHeight="1">
      <c r="A268" s="75"/>
      <c r="B268" s="63" t="s">
        <v>141</v>
      </c>
      <c r="C268" s="66"/>
      <c r="D268" s="30">
        <v>47.5</v>
      </c>
      <c r="E268" s="30"/>
      <c r="F268" s="30"/>
      <c r="G268" s="93">
        <f t="shared" si="50"/>
        <v>0</v>
      </c>
      <c r="H268" s="93"/>
    </row>
    <row r="269" spans="1:8" ht="26.25" customHeight="1">
      <c r="A269" s="75"/>
      <c r="B269" s="60" t="s">
        <v>170</v>
      </c>
      <c r="C269" s="66"/>
      <c r="D269" s="30">
        <f>95.8-38.2</f>
        <v>57.599999999999994</v>
      </c>
      <c r="E269" s="30"/>
      <c r="F269" s="30"/>
      <c r="G269" s="93">
        <f t="shared" si="50"/>
        <v>0</v>
      </c>
      <c r="H269" s="93"/>
    </row>
    <row r="270" spans="1:8" ht="26.25" customHeight="1">
      <c r="A270" s="126" t="s">
        <v>566</v>
      </c>
      <c r="B270" s="76" t="s">
        <v>2</v>
      </c>
      <c r="C270" s="127">
        <v>1012</v>
      </c>
      <c r="D270" s="33">
        <v>1658</v>
      </c>
      <c r="E270" s="33">
        <v>1989.3</v>
      </c>
      <c r="F270" s="33">
        <v>1989.3</v>
      </c>
      <c r="G270" s="188">
        <f t="shared" si="50"/>
        <v>0</v>
      </c>
      <c r="H270" s="188">
        <f t="shared" si="51"/>
        <v>100</v>
      </c>
    </row>
    <row r="271" spans="1:8" ht="26.25" customHeight="1">
      <c r="A271" s="126" t="s">
        <v>567</v>
      </c>
      <c r="B271" s="76" t="s">
        <v>3</v>
      </c>
      <c r="C271" s="127">
        <v>1013</v>
      </c>
      <c r="D271" s="33">
        <v>339.2</v>
      </c>
      <c r="E271" s="33">
        <v>412.1</v>
      </c>
      <c r="F271" s="33">
        <v>412.1</v>
      </c>
      <c r="G271" s="188">
        <f t="shared" si="50"/>
        <v>0</v>
      </c>
      <c r="H271" s="188">
        <f t="shared" si="51"/>
        <v>100</v>
      </c>
    </row>
    <row r="272" spans="1:8" ht="26.25" customHeight="1">
      <c r="A272" s="126" t="s">
        <v>568</v>
      </c>
      <c r="B272" s="76" t="s">
        <v>4</v>
      </c>
      <c r="C272" s="127">
        <v>1014</v>
      </c>
      <c r="D272" s="33">
        <v>553.29999999999995</v>
      </c>
      <c r="E272" s="33"/>
      <c r="F272" s="33"/>
      <c r="G272" s="188">
        <f t="shared" si="50"/>
        <v>0</v>
      </c>
      <c r="H272" s="188"/>
    </row>
    <row r="273" spans="1:8" ht="26.25" customHeight="1">
      <c r="A273" s="75" t="s">
        <v>500</v>
      </c>
      <c r="B273" s="92" t="s">
        <v>162</v>
      </c>
      <c r="C273" s="65">
        <v>1015</v>
      </c>
      <c r="D273" s="33">
        <f>SUM(D274:D281)</f>
        <v>2637.5</v>
      </c>
      <c r="E273" s="33">
        <f>SUM(E274:E281)</f>
        <v>3053.2999999999997</v>
      </c>
      <c r="F273" s="33">
        <f>SUM(F274:F281)</f>
        <v>3391.9999999999995</v>
      </c>
      <c r="G273" s="188">
        <f t="shared" si="50"/>
        <v>338.69999999999982</v>
      </c>
      <c r="H273" s="188">
        <f t="shared" si="51"/>
        <v>111.09291586152688</v>
      </c>
    </row>
    <row r="274" spans="1:8" ht="26.25" customHeight="1">
      <c r="A274" s="75"/>
      <c r="B274" s="218" t="s">
        <v>172</v>
      </c>
      <c r="C274" s="66"/>
      <c r="D274" s="30">
        <v>305.8</v>
      </c>
      <c r="E274" s="30"/>
      <c r="F274" s="30"/>
      <c r="G274" s="93">
        <f t="shared" si="50"/>
        <v>0</v>
      </c>
      <c r="H274" s="93"/>
    </row>
    <row r="275" spans="1:8" ht="26.25" customHeight="1">
      <c r="A275" s="75"/>
      <c r="B275" s="71" t="s">
        <v>175</v>
      </c>
      <c r="C275" s="66"/>
      <c r="D275" s="30">
        <v>942.8</v>
      </c>
      <c r="E275" s="30">
        <v>1642.5</v>
      </c>
      <c r="F275" s="30">
        <f>1583.7+181.6+0.5</f>
        <v>1765.8</v>
      </c>
      <c r="G275" s="93">
        <f t="shared" si="50"/>
        <v>123.29999999999995</v>
      </c>
      <c r="H275" s="93">
        <f t="shared" si="51"/>
        <v>107.50684931506849</v>
      </c>
    </row>
    <row r="276" spans="1:8" ht="26.25" customHeight="1">
      <c r="A276" s="75"/>
      <c r="B276" s="128" t="s">
        <v>173</v>
      </c>
      <c r="C276" s="66"/>
      <c r="D276" s="30">
        <v>214.1</v>
      </c>
      <c r="E276" s="30">
        <v>323.7</v>
      </c>
      <c r="F276" s="30">
        <f>229.6+107.2</f>
        <v>336.8</v>
      </c>
      <c r="G276" s="93">
        <f t="shared" si="50"/>
        <v>13.100000000000023</v>
      </c>
      <c r="H276" s="93">
        <f t="shared" si="51"/>
        <v>104.04695705900527</v>
      </c>
    </row>
    <row r="277" spans="1:8" ht="26.25" customHeight="1">
      <c r="A277" s="75"/>
      <c r="B277" s="71" t="s">
        <v>174</v>
      </c>
      <c r="C277" s="66"/>
      <c r="D277" s="30">
        <v>634.4</v>
      </c>
      <c r="E277" s="30">
        <v>1011.4</v>
      </c>
      <c r="F277" s="30">
        <f>809.9+393.3-0.4</f>
        <v>1202.8</v>
      </c>
      <c r="G277" s="93">
        <f t="shared" si="50"/>
        <v>191.39999999999998</v>
      </c>
      <c r="H277" s="93">
        <f t="shared" si="51"/>
        <v>118.92426339727112</v>
      </c>
    </row>
    <row r="278" spans="1:8" ht="26.25" customHeight="1">
      <c r="A278" s="75"/>
      <c r="B278" s="128" t="s">
        <v>171</v>
      </c>
      <c r="C278" s="66"/>
      <c r="D278" s="30">
        <v>81.900000000000006</v>
      </c>
      <c r="E278" s="30">
        <v>75.7</v>
      </c>
      <c r="F278" s="30">
        <f>55.3+31.3</f>
        <v>86.6</v>
      </c>
      <c r="G278" s="93">
        <f t="shared" si="50"/>
        <v>10.899999999999991</v>
      </c>
      <c r="H278" s="93">
        <f t="shared" si="51"/>
        <v>114.39894319682958</v>
      </c>
    </row>
    <row r="279" spans="1:8" ht="26.25" customHeight="1">
      <c r="A279" s="75"/>
      <c r="B279" s="69" t="s">
        <v>157</v>
      </c>
      <c r="C279" s="66"/>
      <c r="D279" s="30">
        <v>119.3</v>
      </c>
      <c r="E279" s="30"/>
      <c r="F279" s="30"/>
      <c r="G279" s="93">
        <f t="shared" si="50"/>
        <v>0</v>
      </c>
      <c r="H279" s="93"/>
    </row>
    <row r="280" spans="1:8" ht="39" customHeight="1">
      <c r="A280" s="75"/>
      <c r="B280" s="62" t="s">
        <v>144</v>
      </c>
      <c r="C280" s="66"/>
      <c r="D280" s="30">
        <v>149.19999999999999</v>
      </c>
      <c r="E280" s="30"/>
      <c r="F280" s="30"/>
      <c r="G280" s="93">
        <f t="shared" si="50"/>
        <v>0</v>
      </c>
      <c r="H280" s="93"/>
    </row>
    <row r="281" spans="1:8" ht="26.25" customHeight="1">
      <c r="A281" s="75"/>
      <c r="B281" s="62" t="s">
        <v>176</v>
      </c>
      <c r="C281" s="66"/>
      <c r="D281" s="30">
        <v>190</v>
      </c>
      <c r="E281" s="30"/>
      <c r="F281" s="30"/>
      <c r="G281" s="93">
        <f>F281-E281</f>
        <v>0</v>
      </c>
      <c r="H281" s="93"/>
    </row>
    <row r="282" spans="1:8" ht="26.25" customHeight="1">
      <c r="A282" s="98" t="s">
        <v>569</v>
      </c>
      <c r="B282" s="196" t="s">
        <v>91</v>
      </c>
      <c r="C282" s="94">
        <v>1020</v>
      </c>
      <c r="D282" s="156">
        <f>D283</f>
        <v>36.199999999999996</v>
      </c>
      <c r="E282" s="156">
        <f>E283</f>
        <v>54.8</v>
      </c>
      <c r="F282" s="156">
        <f>F283</f>
        <v>11.1</v>
      </c>
      <c r="G282" s="191">
        <f>F282-E282</f>
        <v>-43.699999999999996</v>
      </c>
      <c r="H282" s="191">
        <f>(F282/E282)*100</f>
        <v>20.255474452554743</v>
      </c>
    </row>
    <row r="283" spans="1:8" ht="26.25" customHeight="1">
      <c r="A283" s="75" t="s">
        <v>570</v>
      </c>
      <c r="B283" s="195" t="s">
        <v>147</v>
      </c>
      <c r="C283" s="77">
        <v>1025</v>
      </c>
      <c r="D283" s="33">
        <f>SUM(D284:D287)</f>
        <v>36.199999999999996</v>
      </c>
      <c r="E283" s="33">
        <f>SUM(E284:E287)</f>
        <v>54.8</v>
      </c>
      <c r="F283" s="33">
        <f>SUM(F284:F287)</f>
        <v>11.1</v>
      </c>
      <c r="G283" s="188">
        <f t="shared" ref="G283:G287" si="52">F283-E283</f>
        <v>-43.699999999999996</v>
      </c>
      <c r="H283" s="188">
        <f t="shared" ref="H283:H287" si="53">(F283/E283)*100</f>
        <v>20.255474452554743</v>
      </c>
    </row>
    <row r="284" spans="1:8" ht="26.25" customHeight="1">
      <c r="A284" s="98"/>
      <c r="B284" s="128" t="s">
        <v>175</v>
      </c>
      <c r="C284" s="104"/>
      <c r="D284" s="30">
        <v>18.2</v>
      </c>
      <c r="E284" s="30">
        <v>30.3</v>
      </c>
      <c r="F284" s="30">
        <f>2.5</f>
        <v>2.5</v>
      </c>
      <c r="G284" s="93">
        <f t="shared" si="52"/>
        <v>-27.8</v>
      </c>
      <c r="H284" s="93">
        <f t="shared" si="53"/>
        <v>8.2508250825082499</v>
      </c>
    </row>
    <row r="285" spans="1:8" ht="26.25" customHeight="1">
      <c r="A285" s="75"/>
      <c r="B285" s="128" t="s">
        <v>173</v>
      </c>
      <c r="C285" s="66"/>
      <c r="D285" s="30">
        <v>4.0999999999999996</v>
      </c>
      <c r="E285" s="30">
        <v>6.2</v>
      </c>
      <c r="F285" s="30">
        <f>1.5</f>
        <v>1.5</v>
      </c>
      <c r="G285" s="93">
        <f t="shared" si="52"/>
        <v>-4.7</v>
      </c>
      <c r="H285" s="93">
        <f t="shared" si="53"/>
        <v>24.193548387096772</v>
      </c>
    </row>
    <row r="286" spans="1:8" ht="26.25" customHeight="1">
      <c r="A286" s="75"/>
      <c r="B286" s="128" t="s">
        <v>174</v>
      </c>
      <c r="C286" s="66"/>
      <c r="D286" s="30">
        <v>12.3</v>
      </c>
      <c r="E286" s="30">
        <v>16.8</v>
      </c>
      <c r="F286" s="30">
        <f>6.6</f>
        <v>6.6</v>
      </c>
      <c r="G286" s="93">
        <f t="shared" si="52"/>
        <v>-10.200000000000001</v>
      </c>
      <c r="H286" s="93">
        <f t="shared" si="53"/>
        <v>39.285714285714278</v>
      </c>
    </row>
    <row r="287" spans="1:8" ht="26.25" customHeight="1">
      <c r="A287" s="75"/>
      <c r="B287" s="71" t="s">
        <v>171</v>
      </c>
      <c r="C287" s="66"/>
      <c r="D287" s="30">
        <v>1.6</v>
      </c>
      <c r="E287" s="30">
        <v>1.5</v>
      </c>
      <c r="F287" s="30">
        <f>0.5</f>
        <v>0.5</v>
      </c>
      <c r="G287" s="93">
        <f t="shared" si="52"/>
        <v>-1</v>
      </c>
      <c r="H287" s="93">
        <f t="shared" si="53"/>
        <v>33.333333333333329</v>
      </c>
    </row>
    <row r="288" spans="1:8" ht="26.25" customHeight="1">
      <c r="A288" s="98" t="s">
        <v>571</v>
      </c>
      <c r="B288" s="196" t="s">
        <v>92</v>
      </c>
      <c r="C288" s="200">
        <v>1030</v>
      </c>
      <c r="D288" s="156">
        <f>D289+D291</f>
        <v>83.6</v>
      </c>
      <c r="E288" s="156"/>
      <c r="F288" s="156"/>
      <c r="G288" s="191">
        <f>F288-E288</f>
        <v>0</v>
      </c>
      <c r="H288" s="191"/>
    </row>
    <row r="289" spans="1:8" ht="26.25" customHeight="1">
      <c r="A289" s="75" t="s">
        <v>572</v>
      </c>
      <c r="B289" s="187" t="s">
        <v>108</v>
      </c>
      <c r="C289" s="77">
        <v>1031</v>
      </c>
      <c r="D289" s="33">
        <f>SUM(D290:D290)</f>
        <v>25.6</v>
      </c>
      <c r="E289" s="33">
        <f>SUM(E290:E290)</f>
        <v>0</v>
      </c>
      <c r="F289" s="33">
        <f>SUM(F290:F290)</f>
        <v>0</v>
      </c>
      <c r="G289" s="188">
        <f t="shared" ref="G289:G293" si="54">F289-E289</f>
        <v>0</v>
      </c>
      <c r="H289" s="188"/>
    </row>
    <row r="290" spans="1:8" ht="26.25" customHeight="1">
      <c r="A290" s="75"/>
      <c r="B290" s="128" t="s">
        <v>177</v>
      </c>
      <c r="C290" s="66"/>
      <c r="D290" s="30">
        <v>25.6</v>
      </c>
      <c r="E290" s="30"/>
      <c r="F290" s="30"/>
      <c r="G290" s="93">
        <f t="shared" si="54"/>
        <v>0</v>
      </c>
      <c r="H290" s="93"/>
    </row>
    <row r="291" spans="1:8" ht="26.25" customHeight="1">
      <c r="A291" s="75" t="s">
        <v>573</v>
      </c>
      <c r="B291" s="78" t="s">
        <v>92</v>
      </c>
      <c r="C291" s="77">
        <v>1035</v>
      </c>
      <c r="D291" s="33">
        <f>SUM(D292:D294)</f>
        <v>58</v>
      </c>
      <c r="E291" s="33">
        <f>SUM(E292:E294)</f>
        <v>0</v>
      </c>
      <c r="F291" s="33">
        <f>SUM(F292:F294)</f>
        <v>0</v>
      </c>
      <c r="G291" s="188">
        <f t="shared" si="54"/>
        <v>0</v>
      </c>
      <c r="H291" s="188"/>
    </row>
    <row r="292" spans="1:8" ht="26.25" customHeight="1">
      <c r="A292" s="75"/>
      <c r="B292" s="128" t="s">
        <v>173</v>
      </c>
      <c r="C292" s="66"/>
      <c r="D292" s="30">
        <v>2.5</v>
      </c>
      <c r="E292" s="30"/>
      <c r="F292" s="30"/>
      <c r="G292" s="93">
        <f t="shared" si="54"/>
        <v>0</v>
      </c>
      <c r="H292" s="93"/>
    </row>
    <row r="293" spans="1:8" ht="26.25" customHeight="1">
      <c r="A293" s="75"/>
      <c r="B293" s="128" t="s">
        <v>174</v>
      </c>
      <c r="C293" s="66"/>
      <c r="D293" s="30">
        <v>14.7</v>
      </c>
      <c r="E293" s="30"/>
      <c r="F293" s="30"/>
      <c r="G293" s="93">
        <f t="shared" si="54"/>
        <v>0</v>
      </c>
      <c r="H293" s="93"/>
    </row>
    <row r="294" spans="1:8" ht="26.25" customHeight="1">
      <c r="A294" s="75"/>
      <c r="B294" s="71" t="s">
        <v>175</v>
      </c>
      <c r="C294" s="66"/>
      <c r="D294" s="30">
        <v>40.799999999999997</v>
      </c>
      <c r="E294" s="30"/>
      <c r="F294" s="30"/>
      <c r="G294" s="93">
        <f>F294-E294</f>
        <v>0</v>
      </c>
      <c r="H294" s="93"/>
    </row>
    <row r="295" spans="1:8" ht="26.25" customHeight="1">
      <c r="A295" s="73" t="s">
        <v>460</v>
      </c>
      <c r="B295" s="243" t="s">
        <v>533</v>
      </c>
      <c r="C295" s="68"/>
      <c r="D295" s="29">
        <f t="shared" ref="D295:E295" si="55">D297</f>
        <v>553.40000000000009</v>
      </c>
      <c r="E295" s="29">
        <f t="shared" si="55"/>
        <v>0</v>
      </c>
      <c r="F295" s="29">
        <f>F297</f>
        <v>1123.1999999999998</v>
      </c>
      <c r="G295" s="91"/>
      <c r="H295" s="91"/>
    </row>
    <row r="296" spans="1:8" ht="26.25" customHeight="1">
      <c r="A296" s="75"/>
      <c r="B296" s="64" t="s">
        <v>85</v>
      </c>
      <c r="C296" s="68"/>
      <c r="D296" s="30"/>
      <c r="E296" s="30"/>
      <c r="F296" s="30"/>
      <c r="G296" s="93"/>
      <c r="H296" s="93"/>
    </row>
    <row r="297" spans="1:8" ht="26.25" customHeight="1">
      <c r="A297" s="98" t="s">
        <v>501</v>
      </c>
      <c r="B297" s="196" t="s">
        <v>89</v>
      </c>
      <c r="C297" s="94">
        <v>1010</v>
      </c>
      <c r="D297" s="30">
        <f t="shared" ref="D297:E297" si="56">D298</f>
        <v>553.40000000000009</v>
      </c>
      <c r="E297" s="30">
        <f t="shared" si="56"/>
        <v>0</v>
      </c>
      <c r="F297" s="30">
        <f>F298</f>
        <v>1123.1999999999998</v>
      </c>
      <c r="G297" s="93"/>
      <c r="H297" s="93"/>
    </row>
    <row r="298" spans="1:8" ht="26.25" customHeight="1">
      <c r="A298" s="75" t="s">
        <v>574</v>
      </c>
      <c r="B298" s="187" t="s">
        <v>108</v>
      </c>
      <c r="C298" s="77">
        <v>1011</v>
      </c>
      <c r="D298" s="30">
        <f t="shared" ref="D298:E298" si="57">SUM(D299:D303)</f>
        <v>553.40000000000009</v>
      </c>
      <c r="E298" s="30">
        <f t="shared" si="57"/>
        <v>0</v>
      </c>
      <c r="F298" s="30">
        <f>SUM(F299:F303)</f>
        <v>1123.1999999999998</v>
      </c>
      <c r="G298" s="93"/>
      <c r="H298" s="93"/>
    </row>
    <row r="299" spans="1:8" ht="26.25" customHeight="1">
      <c r="A299" s="75"/>
      <c r="B299" s="63" t="s">
        <v>169</v>
      </c>
      <c r="C299" s="77"/>
      <c r="D299" s="30"/>
      <c r="E299" s="30"/>
      <c r="F299" s="30">
        <v>41</v>
      </c>
      <c r="G299" s="93"/>
      <c r="H299" s="93"/>
    </row>
    <row r="300" spans="1:8" ht="26.25" customHeight="1">
      <c r="A300" s="75"/>
      <c r="B300" s="62" t="s">
        <v>167</v>
      </c>
      <c r="C300" s="77"/>
      <c r="D300" s="30"/>
      <c r="E300" s="30"/>
      <c r="F300" s="30">
        <v>63.9</v>
      </c>
      <c r="G300" s="93"/>
      <c r="H300" s="93"/>
    </row>
    <row r="301" spans="1:8" ht="26.25" customHeight="1">
      <c r="A301" s="75"/>
      <c r="B301" s="62" t="s">
        <v>166</v>
      </c>
      <c r="C301" s="77"/>
      <c r="D301" s="30">
        <v>515.20000000000005</v>
      </c>
      <c r="E301" s="30"/>
      <c r="F301" s="30">
        <v>841.9</v>
      </c>
      <c r="G301" s="93"/>
      <c r="H301" s="93"/>
    </row>
    <row r="302" spans="1:8" ht="26.25" customHeight="1">
      <c r="A302" s="75"/>
      <c r="B302" s="60" t="s">
        <v>170</v>
      </c>
      <c r="C302" s="77"/>
      <c r="D302" s="30">
        <v>38.200000000000003</v>
      </c>
      <c r="E302" s="30"/>
      <c r="F302" s="30">
        <v>70.900000000000006</v>
      </c>
      <c r="G302" s="93"/>
      <c r="H302" s="93"/>
    </row>
    <row r="303" spans="1:8" ht="26.25" customHeight="1">
      <c r="A303" s="75"/>
      <c r="B303" s="60" t="s">
        <v>168</v>
      </c>
      <c r="C303" s="77"/>
      <c r="D303" s="30"/>
      <c r="E303" s="30"/>
      <c r="F303" s="30">
        <v>105.5</v>
      </c>
      <c r="G303" s="93"/>
      <c r="H303" s="93"/>
    </row>
    <row r="304" spans="1:8" ht="42" customHeight="1">
      <c r="A304" s="73" t="s">
        <v>370</v>
      </c>
      <c r="B304" s="97" t="s">
        <v>187</v>
      </c>
      <c r="C304" s="67"/>
      <c r="D304" s="29">
        <f>D306</f>
        <v>1.3</v>
      </c>
      <c r="E304" s="29">
        <f>E306</f>
        <v>1.8</v>
      </c>
      <c r="F304" s="29">
        <f>F306</f>
        <v>14.7</v>
      </c>
      <c r="G304" s="91">
        <f>F304-E304</f>
        <v>12.899999999999999</v>
      </c>
      <c r="H304" s="91">
        <f>(F304/E304)*100</f>
        <v>816.66666666666663</v>
      </c>
    </row>
    <row r="305" spans="1:8" ht="26.25" customHeight="1">
      <c r="A305" s="75"/>
      <c r="B305" s="64" t="s">
        <v>85</v>
      </c>
      <c r="C305" s="68"/>
      <c r="D305" s="30"/>
      <c r="E305" s="30"/>
      <c r="F305" s="30"/>
      <c r="G305" s="91"/>
      <c r="H305" s="91"/>
    </row>
    <row r="306" spans="1:8" ht="26.25" customHeight="1">
      <c r="A306" s="98" t="s">
        <v>502</v>
      </c>
      <c r="B306" s="196" t="s">
        <v>89</v>
      </c>
      <c r="C306" s="94">
        <v>1010</v>
      </c>
      <c r="D306" s="156">
        <f t="shared" ref="D306:F307" si="58">D307</f>
        <v>1.3</v>
      </c>
      <c r="E306" s="156">
        <f t="shared" si="58"/>
        <v>1.8</v>
      </c>
      <c r="F306" s="156">
        <f t="shared" si="58"/>
        <v>14.7</v>
      </c>
      <c r="G306" s="191">
        <f>F306-E306</f>
        <v>12.899999999999999</v>
      </c>
      <c r="H306" s="191">
        <f>(F306/E306)*100</f>
        <v>816.66666666666663</v>
      </c>
    </row>
    <row r="307" spans="1:8" ht="26.25" customHeight="1">
      <c r="A307" s="75" t="s">
        <v>503</v>
      </c>
      <c r="B307" s="92" t="s">
        <v>162</v>
      </c>
      <c r="C307" s="65">
        <v>1015</v>
      </c>
      <c r="D307" s="33">
        <f t="shared" si="58"/>
        <v>1.3</v>
      </c>
      <c r="E307" s="33">
        <f t="shared" si="58"/>
        <v>1.8</v>
      </c>
      <c r="F307" s="33">
        <f>F308</f>
        <v>14.7</v>
      </c>
      <c r="G307" s="188">
        <f t="shared" ref="G307:G308" si="59">F307-E307</f>
        <v>12.899999999999999</v>
      </c>
      <c r="H307" s="188">
        <f t="shared" ref="H307:H308" si="60">(F307/E307)*100</f>
        <v>816.66666666666663</v>
      </c>
    </row>
    <row r="308" spans="1:8" ht="26.25" customHeight="1">
      <c r="A308" s="75"/>
      <c r="B308" s="64" t="s">
        <v>157</v>
      </c>
      <c r="C308" s="66"/>
      <c r="D308" s="30">
        <v>1.3</v>
      </c>
      <c r="E308" s="30">
        <v>1.8</v>
      </c>
      <c r="F308" s="30">
        <f>1.2+13.3+0.7-0.5</f>
        <v>14.7</v>
      </c>
      <c r="G308" s="93">
        <f t="shared" si="59"/>
        <v>12.899999999999999</v>
      </c>
      <c r="H308" s="93">
        <f t="shared" si="60"/>
        <v>816.66666666666663</v>
      </c>
    </row>
    <row r="309" spans="1:8" ht="41.25" customHeight="1">
      <c r="A309" s="73" t="s">
        <v>371</v>
      </c>
      <c r="B309" s="97" t="s">
        <v>458</v>
      </c>
      <c r="C309" s="67"/>
      <c r="D309" s="30"/>
      <c r="E309" s="30"/>
      <c r="F309" s="29">
        <f>F311</f>
        <v>0.5</v>
      </c>
      <c r="G309" s="91">
        <f>F309-E309</f>
        <v>0.5</v>
      </c>
      <c r="H309" s="93"/>
    </row>
    <row r="310" spans="1:8" ht="26.25" customHeight="1">
      <c r="A310" s="75"/>
      <c r="B310" s="64" t="s">
        <v>85</v>
      </c>
      <c r="C310" s="68"/>
      <c r="D310" s="30"/>
      <c r="E310" s="30"/>
      <c r="F310" s="30"/>
      <c r="G310" s="93"/>
      <c r="H310" s="93"/>
    </row>
    <row r="311" spans="1:8" ht="26.25" customHeight="1">
      <c r="A311" s="98" t="s">
        <v>504</v>
      </c>
      <c r="B311" s="196" t="s">
        <v>89</v>
      </c>
      <c r="C311" s="94">
        <v>1010</v>
      </c>
      <c r="D311" s="156"/>
      <c r="E311" s="156"/>
      <c r="F311" s="156">
        <f>F312</f>
        <v>0.5</v>
      </c>
      <c r="G311" s="191">
        <f t="shared" ref="G311:G313" si="61">F311-E311</f>
        <v>0.5</v>
      </c>
      <c r="H311" s="191"/>
    </row>
    <row r="312" spans="1:8" ht="26.25" customHeight="1">
      <c r="A312" s="75" t="s">
        <v>505</v>
      </c>
      <c r="B312" s="92" t="s">
        <v>162</v>
      </c>
      <c r="C312" s="65">
        <v>1015</v>
      </c>
      <c r="D312" s="33"/>
      <c r="E312" s="33"/>
      <c r="F312" s="33">
        <f>F313</f>
        <v>0.5</v>
      </c>
      <c r="G312" s="188">
        <f t="shared" si="61"/>
        <v>0.5</v>
      </c>
      <c r="H312" s="188"/>
    </row>
    <row r="313" spans="1:8" ht="26.25" customHeight="1">
      <c r="A313" s="75"/>
      <c r="B313" s="64" t="s">
        <v>157</v>
      </c>
      <c r="C313" s="66"/>
      <c r="D313" s="30"/>
      <c r="E313" s="30"/>
      <c r="F313" s="30">
        <v>0.5</v>
      </c>
      <c r="G313" s="93">
        <f t="shared" si="61"/>
        <v>0.5</v>
      </c>
      <c r="H313" s="93"/>
    </row>
    <row r="314" spans="1:8" ht="26.25" customHeight="1">
      <c r="A314" s="73" t="s">
        <v>506</v>
      </c>
      <c r="B314" s="243" t="s">
        <v>197</v>
      </c>
      <c r="C314" s="244"/>
      <c r="D314" s="29">
        <f>D316</f>
        <v>23.5</v>
      </c>
      <c r="E314" s="29">
        <f>E316</f>
        <v>22.6</v>
      </c>
      <c r="F314" s="29">
        <f>F316</f>
        <v>21.599999999999998</v>
      </c>
      <c r="G314" s="91">
        <f>F314-E314</f>
        <v>-1.0000000000000036</v>
      </c>
      <c r="H314" s="91">
        <f>F314/E314*100</f>
        <v>95.575221238938042</v>
      </c>
    </row>
    <row r="315" spans="1:8" ht="26.25" customHeight="1">
      <c r="A315" s="74"/>
      <c r="B315" s="64" t="s">
        <v>85</v>
      </c>
      <c r="C315" s="66"/>
      <c r="D315" s="30"/>
      <c r="E315" s="30"/>
      <c r="F315" s="30"/>
      <c r="G315" s="93"/>
      <c r="H315" s="93"/>
    </row>
    <row r="316" spans="1:8" ht="26.25" customHeight="1">
      <c r="A316" s="204" t="s">
        <v>461</v>
      </c>
      <c r="B316" s="205" t="s">
        <v>13</v>
      </c>
      <c r="C316" s="197">
        <v>1030</v>
      </c>
      <c r="D316" s="156">
        <f>D317</f>
        <v>23.5</v>
      </c>
      <c r="E316" s="156">
        <f>E317</f>
        <v>22.6</v>
      </c>
      <c r="F316" s="156">
        <f>F317</f>
        <v>21.599999999999998</v>
      </c>
      <c r="G316" s="191">
        <f t="shared" ref="G316:G321" si="62">F316-E316</f>
        <v>-1.0000000000000036</v>
      </c>
      <c r="H316" s="191">
        <f t="shared" ref="H316:H320" si="63">(F316/E316)*100</f>
        <v>95.575221238938042</v>
      </c>
    </row>
    <row r="317" spans="1:8" ht="26.25" customHeight="1">
      <c r="A317" s="131" t="s">
        <v>507</v>
      </c>
      <c r="B317" s="78" t="s">
        <v>92</v>
      </c>
      <c r="C317" s="77">
        <v>1035</v>
      </c>
      <c r="D317" s="33">
        <f>SUM(D318:D321)</f>
        <v>23.5</v>
      </c>
      <c r="E317" s="33">
        <f>SUM(E318:E321)</f>
        <v>22.6</v>
      </c>
      <c r="F317" s="33">
        <f>SUM(F318:F321)</f>
        <v>21.599999999999998</v>
      </c>
      <c r="G317" s="188">
        <f t="shared" si="62"/>
        <v>-1.0000000000000036</v>
      </c>
      <c r="H317" s="188">
        <f t="shared" si="63"/>
        <v>95.575221238938042</v>
      </c>
    </row>
    <row r="318" spans="1:8" ht="26.25" customHeight="1">
      <c r="A318" s="74"/>
      <c r="B318" s="62" t="s">
        <v>175</v>
      </c>
      <c r="C318" s="66"/>
      <c r="D318" s="30">
        <v>7</v>
      </c>
      <c r="E318" s="30">
        <v>8.1</v>
      </c>
      <c r="F318" s="30">
        <f>4.8+2.3+0.6-1.5</f>
        <v>6.1999999999999993</v>
      </c>
      <c r="G318" s="93">
        <f t="shared" si="62"/>
        <v>-1.9000000000000004</v>
      </c>
      <c r="H318" s="93">
        <f t="shared" si="63"/>
        <v>76.543209876543202</v>
      </c>
    </row>
    <row r="319" spans="1:8" ht="26.25" customHeight="1">
      <c r="A319" s="74"/>
      <c r="B319" s="62" t="s">
        <v>173</v>
      </c>
      <c r="C319" s="66"/>
      <c r="D319" s="30">
        <v>0.8</v>
      </c>
      <c r="E319" s="30">
        <v>1.1000000000000001</v>
      </c>
      <c r="F319" s="30">
        <f>0.5+1+0.3-0.6</f>
        <v>1.2000000000000002</v>
      </c>
      <c r="G319" s="93">
        <f t="shared" si="62"/>
        <v>0.10000000000000009</v>
      </c>
      <c r="H319" s="93">
        <f t="shared" si="63"/>
        <v>109.09090909090911</v>
      </c>
    </row>
    <row r="320" spans="1:8" ht="26.25" customHeight="1">
      <c r="A320" s="74"/>
      <c r="B320" s="62" t="s">
        <v>174</v>
      </c>
      <c r="C320" s="66"/>
      <c r="D320" s="30">
        <v>15.6</v>
      </c>
      <c r="E320" s="30">
        <v>13.4</v>
      </c>
      <c r="F320" s="30">
        <f>9.2+6.1+0.9-2</f>
        <v>14.2</v>
      </c>
      <c r="G320" s="93">
        <f t="shared" si="62"/>
        <v>0.79999999999999893</v>
      </c>
      <c r="H320" s="93">
        <f t="shared" si="63"/>
        <v>105.97014925373134</v>
      </c>
    </row>
    <row r="321" spans="1:8" ht="26.25" customHeight="1">
      <c r="A321" s="74"/>
      <c r="B321" s="62" t="s">
        <v>192</v>
      </c>
      <c r="C321" s="66"/>
      <c r="D321" s="30">
        <v>0.1</v>
      </c>
      <c r="E321" s="30"/>
      <c r="F321" s="30"/>
      <c r="G321" s="93">
        <f t="shared" si="62"/>
        <v>0</v>
      </c>
      <c r="H321" s="93"/>
    </row>
    <row r="322" spans="1:8" ht="26.25" customHeight="1">
      <c r="A322" s="73" t="s">
        <v>508</v>
      </c>
      <c r="B322" s="243" t="s">
        <v>459</v>
      </c>
      <c r="C322" s="244"/>
      <c r="D322" s="30"/>
      <c r="E322" s="29"/>
      <c r="F322" s="29">
        <f>F324</f>
        <v>4.0999999999999996</v>
      </c>
      <c r="G322" s="91">
        <f>F322-E322</f>
        <v>4.0999999999999996</v>
      </c>
      <c r="H322" s="93"/>
    </row>
    <row r="323" spans="1:8" ht="26.25" customHeight="1">
      <c r="A323" s="74"/>
      <c r="B323" s="64" t="s">
        <v>85</v>
      </c>
      <c r="C323" s="66"/>
      <c r="D323" s="30"/>
      <c r="E323" s="30"/>
      <c r="F323" s="30"/>
      <c r="G323" s="93"/>
      <c r="H323" s="93"/>
    </row>
    <row r="324" spans="1:8" ht="26.25" customHeight="1">
      <c r="A324" s="204" t="s">
        <v>575</v>
      </c>
      <c r="B324" s="205" t="s">
        <v>13</v>
      </c>
      <c r="C324" s="197">
        <v>1030</v>
      </c>
      <c r="D324" s="156"/>
      <c r="E324" s="156"/>
      <c r="F324" s="156">
        <f>F325</f>
        <v>4.0999999999999996</v>
      </c>
      <c r="G324" s="191">
        <f t="shared" ref="G324:G328" si="64">F324-E324</f>
        <v>4.0999999999999996</v>
      </c>
      <c r="H324" s="191"/>
    </row>
    <row r="325" spans="1:8" ht="26.25" customHeight="1">
      <c r="A325" s="131" t="s">
        <v>509</v>
      </c>
      <c r="B325" s="78" t="s">
        <v>92</v>
      </c>
      <c r="C325" s="77">
        <v>1035</v>
      </c>
      <c r="D325" s="33"/>
      <c r="E325" s="33"/>
      <c r="F325" s="33">
        <f>F326+F327+F328</f>
        <v>4.0999999999999996</v>
      </c>
      <c r="G325" s="188">
        <f t="shared" si="64"/>
        <v>4.0999999999999996</v>
      </c>
      <c r="H325" s="188"/>
    </row>
    <row r="326" spans="1:8" ht="26.25" customHeight="1">
      <c r="A326" s="74"/>
      <c r="B326" s="62" t="s">
        <v>175</v>
      </c>
      <c r="C326" s="66"/>
      <c r="D326" s="30"/>
      <c r="E326" s="30"/>
      <c r="F326" s="30">
        <v>1.5</v>
      </c>
      <c r="G326" s="93">
        <f t="shared" si="64"/>
        <v>1.5</v>
      </c>
      <c r="H326" s="93"/>
    </row>
    <row r="327" spans="1:8" ht="26.25" customHeight="1">
      <c r="A327" s="74"/>
      <c r="B327" s="62" t="s">
        <v>173</v>
      </c>
      <c r="C327" s="66"/>
      <c r="D327" s="30"/>
      <c r="E327" s="30"/>
      <c r="F327" s="30">
        <v>0.6</v>
      </c>
      <c r="G327" s="93">
        <f t="shared" si="64"/>
        <v>0.6</v>
      </c>
      <c r="H327" s="93"/>
    </row>
    <row r="328" spans="1:8" ht="26.25" customHeight="1">
      <c r="A328" s="74"/>
      <c r="B328" s="62" t="s">
        <v>174</v>
      </c>
      <c r="C328" s="66"/>
      <c r="D328" s="30"/>
      <c r="E328" s="30"/>
      <c r="F328" s="30">
        <v>2</v>
      </c>
      <c r="G328" s="93">
        <f t="shared" si="64"/>
        <v>2</v>
      </c>
      <c r="H328" s="93"/>
    </row>
    <row r="329" spans="1:8" ht="26.25" customHeight="1">
      <c r="A329" s="73" t="s">
        <v>372</v>
      </c>
      <c r="B329" s="248" t="s">
        <v>363</v>
      </c>
      <c r="C329" s="90"/>
      <c r="D329" s="29"/>
      <c r="E329" s="30"/>
      <c r="F329" s="29">
        <f>F330+F344+F349</f>
        <v>1802.8999999999999</v>
      </c>
      <c r="G329" s="91">
        <f>F329-E329</f>
        <v>1802.8999999999999</v>
      </c>
      <c r="H329" s="93"/>
    </row>
    <row r="330" spans="1:8" ht="26.25" customHeight="1">
      <c r="A330" s="98" t="s">
        <v>510</v>
      </c>
      <c r="B330" s="193" t="s">
        <v>89</v>
      </c>
      <c r="C330" s="94">
        <v>1010</v>
      </c>
      <c r="D330" s="156"/>
      <c r="E330" s="156"/>
      <c r="F330" s="156">
        <f>F331+F338</f>
        <v>1741.8999999999999</v>
      </c>
      <c r="G330" s="191">
        <f t="shared" ref="G330:G351" si="65">F330-E330</f>
        <v>1741.8999999999999</v>
      </c>
      <c r="H330" s="191"/>
    </row>
    <row r="331" spans="1:8" ht="26.25" customHeight="1">
      <c r="A331" s="75" t="s">
        <v>576</v>
      </c>
      <c r="B331" s="187" t="s">
        <v>108</v>
      </c>
      <c r="C331" s="77">
        <v>1011</v>
      </c>
      <c r="D331" s="33"/>
      <c r="E331" s="33"/>
      <c r="F331" s="33">
        <f>SUM(F332:F337)</f>
        <v>1459.8999999999999</v>
      </c>
      <c r="G331" s="188">
        <f t="shared" si="65"/>
        <v>1459.8999999999999</v>
      </c>
      <c r="H331" s="188"/>
    </row>
    <row r="332" spans="1:8" ht="26.25" customHeight="1">
      <c r="A332" s="73"/>
      <c r="B332" s="130" t="s">
        <v>161</v>
      </c>
      <c r="C332" s="90"/>
      <c r="D332" s="30"/>
      <c r="E332" s="30"/>
      <c r="F332" s="30">
        <v>1378.6</v>
      </c>
      <c r="G332" s="93">
        <f t="shared" si="65"/>
        <v>1378.6</v>
      </c>
      <c r="H332" s="93"/>
    </row>
    <row r="333" spans="1:8" ht="26.25" customHeight="1">
      <c r="A333" s="73"/>
      <c r="B333" s="132" t="s">
        <v>141</v>
      </c>
      <c r="C333" s="90"/>
      <c r="D333" s="30"/>
      <c r="E333" s="30"/>
      <c r="F333" s="30">
        <f>14.8+8</f>
        <v>22.8</v>
      </c>
      <c r="G333" s="93">
        <f t="shared" si="65"/>
        <v>22.8</v>
      </c>
      <c r="H333" s="93"/>
    </row>
    <row r="334" spans="1:8" ht="26.25" customHeight="1">
      <c r="A334" s="73"/>
      <c r="B334" s="132" t="s">
        <v>364</v>
      </c>
      <c r="C334" s="90"/>
      <c r="D334" s="30"/>
      <c r="E334" s="30"/>
      <c r="F334" s="30">
        <v>0.9</v>
      </c>
      <c r="G334" s="93">
        <f t="shared" si="65"/>
        <v>0.9</v>
      </c>
      <c r="H334" s="93"/>
    </row>
    <row r="335" spans="1:8" ht="36" customHeight="1">
      <c r="A335" s="73"/>
      <c r="B335" s="132" t="s">
        <v>152</v>
      </c>
      <c r="C335" s="90"/>
      <c r="D335" s="30"/>
      <c r="E335" s="30"/>
      <c r="F335" s="30">
        <v>50.3</v>
      </c>
      <c r="G335" s="93">
        <f t="shared" si="65"/>
        <v>50.3</v>
      </c>
      <c r="H335" s="93"/>
    </row>
    <row r="336" spans="1:8" ht="26.25" customHeight="1">
      <c r="A336" s="73"/>
      <c r="B336" s="62" t="s">
        <v>153</v>
      </c>
      <c r="C336" s="90"/>
      <c r="D336" s="30"/>
      <c r="E336" s="30"/>
      <c r="F336" s="30">
        <v>0.8</v>
      </c>
      <c r="G336" s="93">
        <f t="shared" si="65"/>
        <v>0.8</v>
      </c>
      <c r="H336" s="93"/>
    </row>
    <row r="337" spans="1:8" ht="30" customHeight="1">
      <c r="A337" s="73"/>
      <c r="B337" s="62" t="s">
        <v>463</v>
      </c>
      <c r="C337" s="90"/>
      <c r="D337" s="30"/>
      <c r="E337" s="30"/>
      <c r="F337" s="30">
        <v>6.5</v>
      </c>
      <c r="G337" s="93">
        <f t="shared" si="65"/>
        <v>6.5</v>
      </c>
      <c r="H337" s="93"/>
    </row>
    <row r="338" spans="1:8" ht="26.25" customHeight="1">
      <c r="A338" s="75" t="s">
        <v>511</v>
      </c>
      <c r="B338" s="95" t="s">
        <v>97</v>
      </c>
      <c r="C338" s="65">
        <v>1015</v>
      </c>
      <c r="D338" s="33"/>
      <c r="E338" s="33"/>
      <c r="F338" s="33">
        <f>SUM(F339:F343)</f>
        <v>282</v>
      </c>
      <c r="G338" s="188">
        <f t="shared" si="65"/>
        <v>282</v>
      </c>
      <c r="H338" s="188"/>
    </row>
    <row r="339" spans="1:8" ht="26.25" customHeight="1">
      <c r="A339" s="17"/>
      <c r="B339" s="133" t="s">
        <v>365</v>
      </c>
      <c r="C339" s="89"/>
      <c r="D339" s="30"/>
      <c r="E339" s="30"/>
      <c r="F339" s="30">
        <f>6.6+1.6</f>
        <v>8.1999999999999993</v>
      </c>
      <c r="G339" s="93">
        <f t="shared" si="65"/>
        <v>8.1999999999999993</v>
      </c>
      <c r="H339" s="93"/>
    </row>
    <row r="340" spans="1:8" ht="26.25" customHeight="1">
      <c r="A340" s="17"/>
      <c r="B340" s="133" t="s">
        <v>220</v>
      </c>
      <c r="C340" s="89"/>
      <c r="D340" s="30"/>
      <c r="E340" s="30"/>
      <c r="F340" s="30">
        <f>1.7+2.6</f>
        <v>4.3</v>
      </c>
      <c r="G340" s="93">
        <f t="shared" si="65"/>
        <v>4.3</v>
      </c>
      <c r="H340" s="93"/>
    </row>
    <row r="341" spans="1:8" ht="26.25" customHeight="1">
      <c r="A341" s="17"/>
      <c r="B341" s="133" t="s">
        <v>221</v>
      </c>
      <c r="C341" s="89"/>
      <c r="D341" s="30"/>
      <c r="E341" s="30"/>
      <c r="F341" s="30">
        <f>13.2+8.6</f>
        <v>21.799999999999997</v>
      </c>
      <c r="G341" s="93">
        <f t="shared" si="65"/>
        <v>21.799999999999997</v>
      </c>
      <c r="H341" s="93"/>
    </row>
    <row r="342" spans="1:8" ht="26.25" customHeight="1">
      <c r="A342" s="17"/>
      <c r="B342" s="133" t="s">
        <v>157</v>
      </c>
      <c r="C342" s="89"/>
      <c r="D342" s="30"/>
      <c r="E342" s="30"/>
      <c r="F342" s="30">
        <f>166.1+80.2</f>
        <v>246.3</v>
      </c>
      <c r="G342" s="93">
        <f t="shared" si="65"/>
        <v>246.3</v>
      </c>
      <c r="H342" s="93"/>
    </row>
    <row r="343" spans="1:8" ht="26.25" customHeight="1">
      <c r="A343" s="17"/>
      <c r="B343" s="133" t="s">
        <v>192</v>
      </c>
      <c r="C343" s="89"/>
      <c r="D343" s="30"/>
      <c r="E343" s="30"/>
      <c r="F343" s="30">
        <v>1.4</v>
      </c>
      <c r="G343" s="93">
        <f t="shared" si="65"/>
        <v>1.4</v>
      </c>
      <c r="H343" s="93"/>
    </row>
    <row r="344" spans="1:8" ht="26.25" customHeight="1">
      <c r="A344" s="98" t="s">
        <v>577</v>
      </c>
      <c r="B344" s="115" t="s">
        <v>91</v>
      </c>
      <c r="C344" s="94">
        <v>1020</v>
      </c>
      <c r="D344" s="156"/>
      <c r="E344" s="29"/>
      <c r="F344" s="29">
        <f>F345</f>
        <v>60.699999999999996</v>
      </c>
      <c r="G344" s="91">
        <f t="shared" si="65"/>
        <v>60.699999999999996</v>
      </c>
      <c r="H344" s="91"/>
    </row>
    <row r="345" spans="1:8" ht="26.25" customHeight="1">
      <c r="A345" s="75" t="s">
        <v>578</v>
      </c>
      <c r="B345" s="195" t="s">
        <v>147</v>
      </c>
      <c r="C345" s="77">
        <v>1025</v>
      </c>
      <c r="D345" s="33"/>
      <c r="E345" s="33"/>
      <c r="F345" s="33">
        <f>SUM(F346:F348)</f>
        <v>60.699999999999996</v>
      </c>
      <c r="G345" s="188">
        <f t="shared" si="65"/>
        <v>60.699999999999996</v>
      </c>
      <c r="H345" s="188"/>
    </row>
    <row r="346" spans="1:8" ht="39.75" customHeight="1">
      <c r="A346" s="73"/>
      <c r="B346" s="62" t="s">
        <v>223</v>
      </c>
      <c r="C346" s="104"/>
      <c r="D346" s="30"/>
      <c r="E346" s="30"/>
      <c r="F346" s="30">
        <f>1.3+0.1</f>
        <v>1.4000000000000001</v>
      </c>
      <c r="G346" s="93">
        <f t="shared" si="65"/>
        <v>1.4000000000000001</v>
      </c>
      <c r="H346" s="93"/>
    </row>
    <row r="347" spans="1:8" ht="24.75" customHeight="1">
      <c r="A347" s="73"/>
      <c r="B347" s="134" t="s">
        <v>443</v>
      </c>
      <c r="C347" s="104"/>
      <c r="D347" s="30"/>
      <c r="E347" s="30"/>
      <c r="F347" s="30">
        <f>58.9</f>
        <v>58.9</v>
      </c>
      <c r="G347" s="93">
        <f t="shared" si="65"/>
        <v>58.9</v>
      </c>
      <c r="H347" s="93"/>
    </row>
    <row r="348" spans="1:8" ht="26.25" customHeight="1">
      <c r="A348" s="73"/>
      <c r="B348" s="132" t="s">
        <v>190</v>
      </c>
      <c r="C348" s="89"/>
      <c r="D348" s="30"/>
      <c r="E348" s="30"/>
      <c r="F348" s="30">
        <v>0.4</v>
      </c>
      <c r="G348" s="93">
        <f t="shared" si="65"/>
        <v>0.4</v>
      </c>
      <c r="H348" s="93"/>
    </row>
    <row r="349" spans="1:8" ht="26.25" customHeight="1">
      <c r="A349" s="98" t="s">
        <v>579</v>
      </c>
      <c r="B349" s="196" t="s">
        <v>92</v>
      </c>
      <c r="C349" s="94">
        <v>1030</v>
      </c>
      <c r="D349" s="156"/>
      <c r="E349" s="156"/>
      <c r="F349" s="156">
        <f>F350</f>
        <v>0.3</v>
      </c>
      <c r="G349" s="191">
        <f t="shared" si="65"/>
        <v>0.3</v>
      </c>
      <c r="H349" s="191"/>
    </row>
    <row r="350" spans="1:8" ht="26.25" customHeight="1">
      <c r="A350" s="75" t="s">
        <v>580</v>
      </c>
      <c r="B350" s="78" t="s">
        <v>92</v>
      </c>
      <c r="C350" s="77">
        <v>1035</v>
      </c>
      <c r="D350" s="33"/>
      <c r="E350" s="33"/>
      <c r="F350" s="33">
        <f>F351</f>
        <v>0.3</v>
      </c>
      <c r="G350" s="188">
        <f t="shared" si="65"/>
        <v>0.3</v>
      </c>
      <c r="H350" s="188"/>
    </row>
    <row r="351" spans="1:8" ht="26.25" customHeight="1">
      <c r="A351" s="73"/>
      <c r="B351" s="132" t="s">
        <v>366</v>
      </c>
      <c r="C351" s="89"/>
      <c r="D351" s="30"/>
      <c r="E351" s="30"/>
      <c r="F351" s="30">
        <v>0.3</v>
      </c>
      <c r="G351" s="93">
        <f t="shared" si="65"/>
        <v>0.3</v>
      </c>
      <c r="H351" s="93"/>
    </row>
    <row r="352" spans="1:8" ht="26.25" customHeight="1">
      <c r="A352" s="73" t="s">
        <v>451</v>
      </c>
      <c r="B352" s="245" t="s">
        <v>367</v>
      </c>
      <c r="C352" s="67"/>
      <c r="D352" s="29">
        <f>D354+D370</f>
        <v>1968.3</v>
      </c>
      <c r="E352" s="29"/>
      <c r="F352" s="29">
        <f>F354+F370</f>
        <v>143.6</v>
      </c>
      <c r="G352" s="91">
        <f>F352-E352</f>
        <v>143.6</v>
      </c>
      <c r="H352" s="93"/>
    </row>
    <row r="353" spans="1:8" ht="26.25" customHeight="1">
      <c r="A353" s="74"/>
      <c r="B353" s="64" t="s">
        <v>85</v>
      </c>
      <c r="C353" s="68"/>
      <c r="D353" s="30"/>
      <c r="E353" s="30"/>
      <c r="F353" s="30"/>
      <c r="G353" s="93"/>
      <c r="H353" s="93"/>
    </row>
    <row r="354" spans="1:8" ht="26.25" customHeight="1">
      <c r="A354" s="98" t="s">
        <v>515</v>
      </c>
      <c r="B354" s="196" t="s">
        <v>89</v>
      </c>
      <c r="C354" s="94">
        <v>1010</v>
      </c>
      <c r="D354" s="156">
        <f>D355+D362+D363</f>
        <v>1758.6</v>
      </c>
      <c r="E354" s="156"/>
      <c r="F354" s="156">
        <f>F355+F362+F363</f>
        <v>110.1</v>
      </c>
      <c r="G354" s="191">
        <f t="shared" ref="G354:G388" si="66">F354-E354</f>
        <v>110.1</v>
      </c>
      <c r="H354" s="191"/>
    </row>
    <row r="355" spans="1:8" ht="26.25" customHeight="1">
      <c r="A355" s="75" t="s">
        <v>581</v>
      </c>
      <c r="B355" s="187" t="s">
        <v>108</v>
      </c>
      <c r="C355" s="77">
        <v>1011</v>
      </c>
      <c r="D355" s="33">
        <f>SUM(D357:D361)</f>
        <v>1459</v>
      </c>
      <c r="E355" s="33">
        <f>SUM(E357:E361)</f>
        <v>0</v>
      </c>
      <c r="F355" s="33">
        <f>SUM(F356:F361)</f>
        <v>75.5</v>
      </c>
      <c r="G355" s="188">
        <f t="shared" si="66"/>
        <v>75.5</v>
      </c>
      <c r="H355" s="188"/>
    </row>
    <row r="356" spans="1:8" ht="42.75" customHeight="1">
      <c r="A356" s="73"/>
      <c r="B356" s="62" t="s">
        <v>203</v>
      </c>
      <c r="C356" s="104"/>
      <c r="D356" s="30"/>
      <c r="E356" s="30"/>
      <c r="F356" s="30">
        <f>17.3+9.3</f>
        <v>26.6</v>
      </c>
      <c r="G356" s="93">
        <f t="shared" si="66"/>
        <v>26.6</v>
      </c>
      <c r="H356" s="93"/>
    </row>
    <row r="357" spans="1:8" ht="41.25" customHeight="1">
      <c r="A357" s="74"/>
      <c r="B357" s="62" t="s">
        <v>200</v>
      </c>
      <c r="C357" s="68"/>
      <c r="D357" s="30">
        <v>6.2</v>
      </c>
      <c r="E357" s="30"/>
      <c r="F357" s="30">
        <f>6.2+5.7</f>
        <v>11.9</v>
      </c>
      <c r="G357" s="93">
        <f t="shared" si="66"/>
        <v>11.9</v>
      </c>
      <c r="H357" s="93"/>
    </row>
    <row r="358" spans="1:8" ht="26.25" customHeight="1">
      <c r="A358" s="74"/>
      <c r="B358" s="62" t="s">
        <v>178</v>
      </c>
      <c r="C358" s="68"/>
      <c r="D358" s="30">
        <v>15.7</v>
      </c>
      <c r="E358" s="30"/>
      <c r="F358" s="30">
        <f>23.7+12.2</f>
        <v>35.9</v>
      </c>
      <c r="G358" s="93">
        <f t="shared" si="66"/>
        <v>35.9</v>
      </c>
      <c r="H358" s="93"/>
    </row>
    <row r="359" spans="1:8" ht="26.25" customHeight="1">
      <c r="A359" s="74"/>
      <c r="B359" s="60" t="s">
        <v>201</v>
      </c>
      <c r="C359" s="68"/>
      <c r="D359" s="30">
        <v>637.79999999999995</v>
      </c>
      <c r="E359" s="30"/>
      <c r="F359" s="30"/>
      <c r="G359" s="93">
        <f t="shared" si="66"/>
        <v>0</v>
      </c>
      <c r="H359" s="93"/>
    </row>
    <row r="360" spans="1:8" ht="26.25" customHeight="1">
      <c r="A360" s="74"/>
      <c r="B360" s="60" t="s">
        <v>140</v>
      </c>
      <c r="C360" s="68"/>
      <c r="D360" s="30">
        <f>942.1-158.3</f>
        <v>783.8</v>
      </c>
      <c r="E360" s="30"/>
      <c r="F360" s="30">
        <v>1.1000000000000001</v>
      </c>
      <c r="G360" s="93">
        <f t="shared" si="66"/>
        <v>1.1000000000000001</v>
      </c>
      <c r="H360" s="93"/>
    </row>
    <row r="361" spans="1:8" ht="26.25" customHeight="1">
      <c r="A361" s="74"/>
      <c r="B361" s="60" t="s">
        <v>141</v>
      </c>
      <c r="C361" s="68"/>
      <c r="D361" s="30">
        <v>15.5</v>
      </c>
      <c r="E361" s="30"/>
      <c r="F361" s="30"/>
      <c r="G361" s="93">
        <f t="shared" si="66"/>
        <v>0</v>
      </c>
      <c r="H361" s="93"/>
    </row>
    <row r="362" spans="1:8" ht="26.25" customHeight="1">
      <c r="A362" s="75" t="s">
        <v>582</v>
      </c>
      <c r="B362" s="76" t="s">
        <v>4</v>
      </c>
      <c r="C362" s="65">
        <v>1014</v>
      </c>
      <c r="D362" s="33">
        <v>149.5</v>
      </c>
      <c r="E362" s="33"/>
      <c r="F362" s="33">
        <v>25</v>
      </c>
      <c r="G362" s="188">
        <f t="shared" si="66"/>
        <v>25</v>
      </c>
      <c r="H362" s="188"/>
    </row>
    <row r="363" spans="1:8" ht="26.25" customHeight="1">
      <c r="A363" s="75" t="s">
        <v>512</v>
      </c>
      <c r="B363" s="92" t="s">
        <v>162</v>
      </c>
      <c r="C363" s="65">
        <v>1015</v>
      </c>
      <c r="D363" s="33">
        <f>SUM(D364:D368)</f>
        <v>150.10000000000002</v>
      </c>
      <c r="E363" s="33">
        <f>SUM(E364:E368)</f>
        <v>0</v>
      </c>
      <c r="F363" s="33">
        <f>SUM(F364:F369)</f>
        <v>9.6</v>
      </c>
      <c r="G363" s="188">
        <f t="shared" si="66"/>
        <v>9.6</v>
      </c>
      <c r="H363" s="188"/>
    </row>
    <row r="364" spans="1:8" ht="26.25" customHeight="1">
      <c r="A364" s="74"/>
      <c r="B364" s="70" t="s">
        <v>142</v>
      </c>
      <c r="C364" s="68"/>
      <c r="D364" s="30">
        <v>50.7</v>
      </c>
      <c r="E364" s="30"/>
      <c r="F364" s="30"/>
      <c r="G364" s="93">
        <f t="shared" si="66"/>
        <v>0</v>
      </c>
      <c r="H364" s="93"/>
    </row>
    <row r="365" spans="1:8" ht="26.25" customHeight="1">
      <c r="A365" s="74"/>
      <c r="B365" s="63" t="s">
        <v>157</v>
      </c>
      <c r="C365" s="68"/>
      <c r="D365" s="30">
        <v>63.2</v>
      </c>
      <c r="E365" s="30"/>
      <c r="F365" s="30"/>
      <c r="G365" s="93">
        <f t="shared" si="66"/>
        <v>0</v>
      </c>
      <c r="H365" s="93"/>
    </row>
    <row r="366" spans="1:8" ht="26.25" customHeight="1">
      <c r="A366" s="74"/>
      <c r="B366" s="63" t="s">
        <v>358</v>
      </c>
      <c r="C366" s="68"/>
      <c r="D366" s="30"/>
      <c r="E366" s="30"/>
      <c r="F366" s="30">
        <f>4.8+2.3</f>
        <v>7.1</v>
      </c>
      <c r="G366" s="93">
        <f t="shared" si="66"/>
        <v>7.1</v>
      </c>
      <c r="H366" s="93"/>
    </row>
    <row r="367" spans="1:8" ht="26.25" customHeight="1">
      <c r="A367" s="74"/>
      <c r="B367" s="63" t="s">
        <v>359</v>
      </c>
      <c r="C367" s="68"/>
      <c r="D367" s="30"/>
      <c r="E367" s="30"/>
      <c r="F367" s="30">
        <f>1.8</f>
        <v>1.8</v>
      </c>
      <c r="G367" s="93">
        <f t="shared" si="66"/>
        <v>1.8</v>
      </c>
      <c r="H367" s="93"/>
    </row>
    <row r="368" spans="1:8" ht="36" customHeight="1">
      <c r="A368" s="74"/>
      <c r="B368" s="62" t="s">
        <v>144</v>
      </c>
      <c r="C368" s="68"/>
      <c r="D368" s="30">
        <v>36.200000000000003</v>
      </c>
      <c r="E368" s="30"/>
      <c r="F368" s="30"/>
      <c r="G368" s="93">
        <f t="shared" si="66"/>
        <v>0</v>
      </c>
      <c r="H368" s="93"/>
    </row>
    <row r="369" spans="1:8" ht="24.75" customHeight="1">
      <c r="A369" s="74"/>
      <c r="B369" s="62" t="s">
        <v>361</v>
      </c>
      <c r="C369" s="68"/>
      <c r="D369" s="30"/>
      <c r="E369" s="30"/>
      <c r="F369" s="30">
        <f>0.7</f>
        <v>0.7</v>
      </c>
      <c r="G369" s="93">
        <f t="shared" si="66"/>
        <v>0.7</v>
      </c>
      <c r="H369" s="93"/>
    </row>
    <row r="370" spans="1:8" ht="26.25" customHeight="1">
      <c r="A370" s="98" t="s">
        <v>583</v>
      </c>
      <c r="B370" s="196" t="s">
        <v>91</v>
      </c>
      <c r="C370" s="94">
        <v>1020</v>
      </c>
      <c r="D370" s="156">
        <f>D371+D377</f>
        <v>209.70000000000005</v>
      </c>
      <c r="E370" s="156"/>
      <c r="F370" s="156">
        <f>F371+F377</f>
        <v>33.5</v>
      </c>
      <c r="G370" s="191">
        <f t="shared" si="66"/>
        <v>33.5</v>
      </c>
      <c r="H370" s="191"/>
    </row>
    <row r="371" spans="1:8" ht="26.25" customHeight="1">
      <c r="A371" s="75" t="s">
        <v>584</v>
      </c>
      <c r="B371" s="187" t="s">
        <v>108</v>
      </c>
      <c r="C371" s="77">
        <v>1021</v>
      </c>
      <c r="D371" s="33">
        <f>SUM(D372:D376)</f>
        <v>48.900000000000006</v>
      </c>
      <c r="E371" s="33">
        <f>SUM(E372:E376)</f>
        <v>0</v>
      </c>
      <c r="F371" s="33">
        <f>SUM(F372:F376)</f>
        <v>15.5</v>
      </c>
      <c r="G371" s="188">
        <f t="shared" si="66"/>
        <v>15.5</v>
      </c>
      <c r="H371" s="188"/>
    </row>
    <row r="372" spans="1:8" ht="26.25" customHeight="1">
      <c r="A372" s="74"/>
      <c r="B372" s="62" t="s">
        <v>178</v>
      </c>
      <c r="C372" s="68"/>
      <c r="D372" s="30">
        <v>0.1</v>
      </c>
      <c r="E372" s="30"/>
      <c r="F372" s="30">
        <f>6+2.8</f>
        <v>8.8000000000000007</v>
      </c>
      <c r="G372" s="93">
        <f t="shared" si="66"/>
        <v>8.8000000000000007</v>
      </c>
      <c r="H372" s="93"/>
    </row>
    <row r="373" spans="1:8" ht="26.25" customHeight="1">
      <c r="A373" s="74"/>
      <c r="B373" s="62" t="s">
        <v>202</v>
      </c>
      <c r="C373" s="68"/>
      <c r="D373" s="30">
        <v>5</v>
      </c>
      <c r="E373" s="30"/>
      <c r="F373" s="30"/>
      <c r="G373" s="93">
        <f t="shared" si="66"/>
        <v>0</v>
      </c>
      <c r="H373" s="93"/>
    </row>
    <row r="374" spans="1:8" ht="39" customHeight="1">
      <c r="A374" s="74"/>
      <c r="B374" s="62" t="s">
        <v>203</v>
      </c>
      <c r="C374" s="68"/>
      <c r="D374" s="30">
        <v>43.6</v>
      </c>
      <c r="E374" s="30"/>
      <c r="F374" s="30">
        <f>0.2+6.5</f>
        <v>6.7</v>
      </c>
      <c r="G374" s="93">
        <f t="shared" si="66"/>
        <v>6.7</v>
      </c>
      <c r="H374" s="93"/>
    </row>
    <row r="375" spans="1:8" ht="39" customHeight="1">
      <c r="A375" s="74"/>
      <c r="B375" s="62" t="s">
        <v>200</v>
      </c>
      <c r="C375" s="68"/>
      <c r="D375" s="30"/>
      <c r="E375" s="30"/>
      <c r="F375" s="30"/>
      <c r="G375" s="93">
        <f t="shared" si="66"/>
        <v>0</v>
      </c>
      <c r="H375" s="93"/>
    </row>
    <row r="376" spans="1:8" ht="26.25" customHeight="1">
      <c r="A376" s="74"/>
      <c r="B376" s="62" t="s">
        <v>160</v>
      </c>
      <c r="C376" s="68"/>
      <c r="D376" s="30">
        <v>0.2</v>
      </c>
      <c r="E376" s="30"/>
      <c r="F376" s="30"/>
      <c r="G376" s="93">
        <f t="shared" si="66"/>
        <v>0</v>
      </c>
      <c r="H376" s="93"/>
    </row>
    <row r="377" spans="1:8" ht="26.25" customHeight="1">
      <c r="A377" s="75" t="s">
        <v>585</v>
      </c>
      <c r="B377" s="195" t="s">
        <v>147</v>
      </c>
      <c r="C377" s="77">
        <v>1025</v>
      </c>
      <c r="D377" s="33">
        <f>SUM(D378:D387)</f>
        <v>160.80000000000004</v>
      </c>
      <c r="E377" s="33">
        <f>SUM(E378:E387)</f>
        <v>0</v>
      </c>
      <c r="F377" s="33">
        <f>SUM(F378:F388)</f>
        <v>18</v>
      </c>
      <c r="G377" s="188">
        <f t="shared" si="66"/>
        <v>18</v>
      </c>
      <c r="H377" s="188"/>
    </row>
    <row r="378" spans="1:8" ht="26.25" customHeight="1">
      <c r="A378" s="74"/>
      <c r="B378" s="62" t="s">
        <v>180</v>
      </c>
      <c r="C378" s="68"/>
      <c r="D378" s="30">
        <v>0.6</v>
      </c>
      <c r="E378" s="30"/>
      <c r="F378" s="30">
        <f>0.4+0.2</f>
        <v>0.60000000000000009</v>
      </c>
      <c r="G378" s="93">
        <f t="shared" si="66"/>
        <v>0.60000000000000009</v>
      </c>
      <c r="H378" s="93"/>
    </row>
    <row r="379" spans="1:8" ht="26.25" customHeight="1">
      <c r="A379" s="74"/>
      <c r="B379" s="60" t="s">
        <v>204</v>
      </c>
      <c r="C379" s="68"/>
      <c r="D379" s="30">
        <v>1.2</v>
      </c>
      <c r="E379" s="30"/>
      <c r="F379" s="30"/>
      <c r="G379" s="93">
        <f t="shared" si="66"/>
        <v>0</v>
      </c>
      <c r="H379" s="93"/>
    </row>
    <row r="380" spans="1:8" ht="26.25" customHeight="1">
      <c r="A380" s="74"/>
      <c r="B380" s="63" t="s">
        <v>205</v>
      </c>
      <c r="C380" s="68"/>
      <c r="D380" s="30">
        <v>30</v>
      </c>
      <c r="E380" s="30"/>
      <c r="F380" s="30"/>
      <c r="G380" s="93">
        <f t="shared" si="66"/>
        <v>0</v>
      </c>
      <c r="H380" s="93"/>
    </row>
    <row r="381" spans="1:8" ht="26.25" customHeight="1">
      <c r="A381" s="74"/>
      <c r="B381" s="62" t="s">
        <v>360</v>
      </c>
      <c r="C381" s="68"/>
      <c r="D381" s="30">
        <v>7.8</v>
      </c>
      <c r="E381" s="30"/>
      <c r="F381" s="30">
        <f>9.8+1.5</f>
        <v>11.3</v>
      </c>
      <c r="G381" s="93">
        <f t="shared" si="66"/>
        <v>11.3</v>
      </c>
      <c r="H381" s="93"/>
    </row>
    <row r="382" spans="1:8" ht="26.25" customHeight="1">
      <c r="A382" s="74"/>
      <c r="B382" s="63" t="s">
        <v>358</v>
      </c>
      <c r="C382" s="68"/>
      <c r="D382" s="30"/>
      <c r="E382" s="30"/>
      <c r="F382" s="30">
        <v>3.1</v>
      </c>
      <c r="G382" s="93">
        <f t="shared" si="66"/>
        <v>3.1</v>
      </c>
      <c r="H382" s="93"/>
    </row>
    <row r="383" spans="1:8" ht="26.25" customHeight="1">
      <c r="A383" s="74"/>
      <c r="B383" s="62" t="s">
        <v>191</v>
      </c>
      <c r="C383" s="68"/>
      <c r="D383" s="30">
        <v>110.7</v>
      </c>
      <c r="E383" s="30"/>
      <c r="F383" s="30"/>
      <c r="G383" s="93">
        <f t="shared" si="66"/>
        <v>0</v>
      </c>
      <c r="H383" s="93"/>
    </row>
    <row r="384" spans="1:8" ht="26.25" customHeight="1">
      <c r="A384" s="74"/>
      <c r="B384" s="60" t="s">
        <v>182</v>
      </c>
      <c r="C384" s="68"/>
      <c r="D384" s="30">
        <v>2.4</v>
      </c>
      <c r="E384" s="30"/>
      <c r="F384" s="30"/>
      <c r="G384" s="93">
        <f t="shared" si="66"/>
        <v>0</v>
      </c>
      <c r="H384" s="93"/>
    </row>
    <row r="385" spans="1:8" ht="26.25" customHeight="1">
      <c r="A385" s="74"/>
      <c r="B385" s="60" t="s">
        <v>183</v>
      </c>
      <c r="C385" s="68"/>
      <c r="D385" s="30">
        <v>2.2999999999999998</v>
      </c>
      <c r="E385" s="30"/>
      <c r="F385" s="30"/>
      <c r="G385" s="93">
        <f t="shared" si="66"/>
        <v>0</v>
      </c>
      <c r="H385" s="93"/>
    </row>
    <row r="386" spans="1:8" ht="26.25" customHeight="1">
      <c r="A386" s="74"/>
      <c r="B386" s="60" t="s">
        <v>154</v>
      </c>
      <c r="C386" s="68"/>
      <c r="D386" s="30">
        <v>2.5</v>
      </c>
      <c r="E386" s="30"/>
      <c r="F386" s="30"/>
      <c r="G386" s="93">
        <f t="shared" si="66"/>
        <v>0</v>
      </c>
      <c r="H386" s="93"/>
    </row>
    <row r="387" spans="1:8" ht="26.25" customHeight="1">
      <c r="A387" s="74"/>
      <c r="B387" s="62" t="s">
        <v>164</v>
      </c>
      <c r="C387" s="68"/>
      <c r="D387" s="30">
        <v>3.3</v>
      </c>
      <c r="E387" s="30"/>
      <c r="F387" s="30">
        <f>2.8</f>
        <v>2.8</v>
      </c>
      <c r="G387" s="93">
        <f t="shared" si="66"/>
        <v>2.8</v>
      </c>
      <c r="H387" s="93"/>
    </row>
    <row r="388" spans="1:8" ht="26.25" customHeight="1">
      <c r="A388" s="74"/>
      <c r="B388" s="62" t="s">
        <v>361</v>
      </c>
      <c r="C388" s="68"/>
      <c r="D388" s="30"/>
      <c r="E388" s="30"/>
      <c r="F388" s="30">
        <f>0.2</f>
        <v>0.2</v>
      </c>
      <c r="G388" s="93">
        <f t="shared" si="66"/>
        <v>0.2</v>
      </c>
      <c r="H388" s="93"/>
    </row>
    <row r="389" spans="1:8" ht="26.25" customHeight="1">
      <c r="A389" s="73" t="s">
        <v>452</v>
      </c>
      <c r="B389" s="245" t="s">
        <v>534</v>
      </c>
      <c r="C389" s="67"/>
      <c r="D389" s="29">
        <f>D391</f>
        <v>158.30000000000001</v>
      </c>
      <c r="E389" s="30"/>
      <c r="F389" s="30"/>
      <c r="G389" s="93"/>
      <c r="H389" s="93"/>
    </row>
    <row r="390" spans="1:8" ht="26.25" customHeight="1">
      <c r="A390" s="74"/>
      <c r="B390" s="64" t="s">
        <v>85</v>
      </c>
      <c r="C390" s="68"/>
      <c r="D390" s="30"/>
      <c r="E390" s="30"/>
      <c r="F390" s="30"/>
      <c r="G390" s="93"/>
      <c r="H390" s="93"/>
    </row>
    <row r="391" spans="1:8" ht="26.25" customHeight="1">
      <c r="A391" s="98" t="s">
        <v>514</v>
      </c>
      <c r="B391" s="196" t="s">
        <v>89</v>
      </c>
      <c r="C391" s="94">
        <v>1010</v>
      </c>
      <c r="D391" s="156">
        <f>D392</f>
        <v>158.30000000000001</v>
      </c>
      <c r="E391" s="30"/>
      <c r="F391" s="30"/>
      <c r="G391" s="93"/>
      <c r="H391" s="93"/>
    </row>
    <row r="392" spans="1:8" ht="26.25" customHeight="1">
      <c r="A392" s="75" t="s">
        <v>586</v>
      </c>
      <c r="B392" s="187" t="s">
        <v>108</v>
      </c>
      <c r="C392" s="77">
        <v>1011</v>
      </c>
      <c r="D392" s="33">
        <f>D393</f>
        <v>158.30000000000001</v>
      </c>
      <c r="E392" s="30"/>
      <c r="F392" s="30"/>
      <c r="G392" s="93"/>
      <c r="H392" s="93"/>
    </row>
    <row r="393" spans="1:8" ht="26.25" customHeight="1">
      <c r="A393" s="75"/>
      <c r="B393" s="60" t="s">
        <v>140</v>
      </c>
      <c r="C393" s="77"/>
      <c r="D393" s="30">
        <v>158.30000000000001</v>
      </c>
      <c r="E393" s="30"/>
      <c r="F393" s="30"/>
      <c r="G393" s="93"/>
      <c r="H393" s="93"/>
    </row>
    <row r="394" spans="1:8" ht="26.25" customHeight="1">
      <c r="A394" s="73" t="s">
        <v>462</v>
      </c>
      <c r="B394" s="249" t="s">
        <v>391</v>
      </c>
      <c r="C394" s="89"/>
      <c r="D394" s="29">
        <f>D396+D400</f>
        <v>4.4000000000000004</v>
      </c>
      <c r="E394" s="29">
        <f>E396+E400</f>
        <v>25.599999999999998</v>
      </c>
      <c r="F394" s="29">
        <f>F396+F400</f>
        <v>21.1</v>
      </c>
      <c r="G394" s="91">
        <f>F394-E394</f>
        <v>-4.4999999999999964</v>
      </c>
      <c r="H394" s="91">
        <f>F394/E394*100</f>
        <v>82.421875000000014</v>
      </c>
    </row>
    <row r="395" spans="1:8" ht="26.25" customHeight="1">
      <c r="A395" s="17"/>
      <c r="B395" s="64" t="s">
        <v>85</v>
      </c>
      <c r="C395" s="11"/>
      <c r="D395" s="30"/>
      <c r="E395" s="30"/>
      <c r="F395" s="30"/>
      <c r="G395" s="93"/>
      <c r="H395" s="93"/>
    </row>
    <row r="396" spans="1:8" ht="45" customHeight="1">
      <c r="A396" s="98" t="s">
        <v>513</v>
      </c>
      <c r="B396" s="193" t="s">
        <v>89</v>
      </c>
      <c r="C396" s="94">
        <v>1010</v>
      </c>
      <c r="D396" s="156">
        <f>D397</f>
        <v>2.1</v>
      </c>
      <c r="E396" s="156">
        <f>E397</f>
        <v>21.9</v>
      </c>
      <c r="F396" s="156">
        <f>F397</f>
        <v>18.600000000000001</v>
      </c>
      <c r="G396" s="191">
        <f t="shared" ref="G396:G402" si="67">F396-E396</f>
        <v>-3.2999999999999972</v>
      </c>
      <c r="H396" s="191">
        <f t="shared" ref="H396:H402" si="68">(F396/E396)*100</f>
        <v>84.931506849315085</v>
      </c>
    </row>
    <row r="397" spans="1:8" ht="26.25" customHeight="1">
      <c r="A397" s="75" t="s">
        <v>587</v>
      </c>
      <c r="B397" s="76" t="s">
        <v>97</v>
      </c>
      <c r="C397" s="65">
        <v>1015</v>
      </c>
      <c r="D397" s="33">
        <f>D398+D399</f>
        <v>2.1</v>
      </c>
      <c r="E397" s="33">
        <f>E398</f>
        <v>21.9</v>
      </c>
      <c r="F397" s="33">
        <f>F398</f>
        <v>18.600000000000001</v>
      </c>
      <c r="G397" s="188">
        <f t="shared" si="67"/>
        <v>-3.2999999999999972</v>
      </c>
      <c r="H397" s="188">
        <f t="shared" si="68"/>
        <v>84.931506849315085</v>
      </c>
    </row>
    <row r="398" spans="1:8" ht="26.25" customHeight="1">
      <c r="A398" s="74"/>
      <c r="B398" s="62" t="s">
        <v>221</v>
      </c>
      <c r="C398" s="68"/>
      <c r="D398" s="30"/>
      <c r="E398" s="30">
        <v>21.9</v>
      </c>
      <c r="F398" s="30">
        <v>18.600000000000001</v>
      </c>
      <c r="G398" s="93">
        <f t="shared" si="67"/>
        <v>-3.2999999999999972</v>
      </c>
      <c r="H398" s="93">
        <f t="shared" si="68"/>
        <v>84.931506849315085</v>
      </c>
    </row>
    <row r="399" spans="1:8" ht="26.25" customHeight="1">
      <c r="A399" s="74"/>
      <c r="B399" s="62" t="s">
        <v>157</v>
      </c>
      <c r="C399" s="68"/>
      <c r="D399" s="30">
        <v>2.1</v>
      </c>
      <c r="E399" s="30"/>
      <c r="F399" s="30"/>
      <c r="G399" s="93">
        <f t="shared" si="67"/>
        <v>0</v>
      </c>
      <c r="H399" s="93"/>
    </row>
    <row r="400" spans="1:8" ht="26.25" customHeight="1">
      <c r="A400" s="98" t="s">
        <v>516</v>
      </c>
      <c r="B400" s="196" t="s">
        <v>91</v>
      </c>
      <c r="C400" s="94">
        <v>1020</v>
      </c>
      <c r="D400" s="156">
        <f t="shared" ref="D400:F401" si="69">D401</f>
        <v>2.2999999999999998</v>
      </c>
      <c r="E400" s="156">
        <f t="shared" si="69"/>
        <v>3.7</v>
      </c>
      <c r="F400" s="156">
        <f t="shared" si="69"/>
        <v>2.5</v>
      </c>
      <c r="G400" s="191">
        <f t="shared" si="67"/>
        <v>-1.2000000000000002</v>
      </c>
      <c r="H400" s="191">
        <f t="shared" si="68"/>
        <v>67.567567567567565</v>
      </c>
    </row>
    <row r="401" spans="1:8" ht="26.25" customHeight="1">
      <c r="A401" s="75" t="s">
        <v>588</v>
      </c>
      <c r="B401" s="195" t="s">
        <v>147</v>
      </c>
      <c r="C401" s="77">
        <v>1025</v>
      </c>
      <c r="D401" s="33">
        <f t="shared" si="69"/>
        <v>2.2999999999999998</v>
      </c>
      <c r="E401" s="33">
        <f t="shared" si="69"/>
        <v>3.7</v>
      </c>
      <c r="F401" s="33">
        <f t="shared" si="69"/>
        <v>2.5</v>
      </c>
      <c r="G401" s="188">
        <f t="shared" si="67"/>
        <v>-1.2000000000000002</v>
      </c>
      <c r="H401" s="188">
        <f t="shared" si="68"/>
        <v>67.567567567567565</v>
      </c>
    </row>
    <row r="402" spans="1:8" ht="26.25" customHeight="1">
      <c r="A402" s="73"/>
      <c r="B402" s="60" t="s">
        <v>392</v>
      </c>
      <c r="C402" s="104"/>
      <c r="D402" s="30">
        <v>2.2999999999999998</v>
      </c>
      <c r="E402" s="30">
        <v>3.7</v>
      </c>
      <c r="F402" s="30">
        <v>2.5</v>
      </c>
      <c r="G402" s="93">
        <f t="shared" si="67"/>
        <v>-1.2000000000000002</v>
      </c>
      <c r="H402" s="93">
        <f t="shared" si="68"/>
        <v>67.567567567567565</v>
      </c>
    </row>
    <row r="403" spans="1:8" ht="26.25" customHeight="1">
      <c r="A403" s="73" t="s">
        <v>589</v>
      </c>
      <c r="B403" s="250" t="s">
        <v>450</v>
      </c>
      <c r="C403" s="104"/>
      <c r="D403" s="30"/>
      <c r="E403" s="30"/>
      <c r="F403" s="29">
        <v>5.3</v>
      </c>
      <c r="G403" s="91">
        <f>F403-E403</f>
        <v>5.3</v>
      </c>
      <c r="H403" s="93"/>
    </row>
    <row r="404" spans="1:8" ht="26.25" customHeight="1">
      <c r="A404" s="17"/>
      <c r="B404" s="64" t="s">
        <v>85</v>
      </c>
      <c r="C404" s="11"/>
      <c r="D404" s="30"/>
      <c r="E404" s="30"/>
      <c r="F404" s="30"/>
      <c r="G404" s="93"/>
      <c r="H404" s="93"/>
    </row>
    <row r="405" spans="1:8" ht="26.25" customHeight="1">
      <c r="A405" s="98" t="s">
        <v>590</v>
      </c>
      <c r="B405" s="196" t="s">
        <v>92</v>
      </c>
      <c r="C405" s="94">
        <v>1030</v>
      </c>
      <c r="D405" s="156"/>
      <c r="E405" s="156"/>
      <c r="F405" s="156">
        <f>F406</f>
        <v>5.3</v>
      </c>
      <c r="G405" s="191">
        <f t="shared" ref="G405:G408" si="70">F405-E405</f>
        <v>5.3</v>
      </c>
      <c r="H405" s="191"/>
    </row>
    <row r="406" spans="1:8" ht="26.25" customHeight="1">
      <c r="A406" s="75" t="s">
        <v>591</v>
      </c>
      <c r="B406" s="78" t="s">
        <v>92</v>
      </c>
      <c r="C406" s="77">
        <v>1035</v>
      </c>
      <c r="D406" s="33"/>
      <c r="E406" s="33"/>
      <c r="F406" s="33">
        <f>F407</f>
        <v>5.3</v>
      </c>
      <c r="G406" s="188">
        <f t="shared" si="70"/>
        <v>5.3</v>
      </c>
      <c r="H406" s="188"/>
    </row>
    <row r="407" spans="1:8" ht="26.25" customHeight="1">
      <c r="A407" s="73"/>
      <c r="B407" s="60" t="s">
        <v>449</v>
      </c>
      <c r="C407" s="104"/>
      <c r="D407" s="30"/>
      <c r="E407" s="30"/>
      <c r="F407" s="30">
        <v>5.3</v>
      </c>
      <c r="G407" s="93">
        <f t="shared" si="70"/>
        <v>5.3</v>
      </c>
      <c r="H407" s="93"/>
    </row>
    <row r="408" spans="1:8" ht="26.25" customHeight="1">
      <c r="A408" s="73" t="s">
        <v>592</v>
      </c>
      <c r="B408" s="250" t="s">
        <v>453</v>
      </c>
      <c r="C408" s="104"/>
      <c r="D408" s="30"/>
      <c r="E408" s="30"/>
      <c r="F408" s="29">
        <f>F410</f>
        <v>5</v>
      </c>
      <c r="G408" s="91">
        <f t="shared" si="70"/>
        <v>5</v>
      </c>
      <c r="H408" s="93"/>
    </row>
    <row r="409" spans="1:8" ht="27.75" customHeight="1">
      <c r="A409" s="113"/>
      <c r="B409" s="64" t="s">
        <v>85</v>
      </c>
      <c r="C409" s="114"/>
      <c r="D409" s="30"/>
      <c r="E409" s="30"/>
      <c r="F409" s="30"/>
      <c r="G409" s="93"/>
      <c r="H409" s="93"/>
    </row>
    <row r="410" spans="1:8" ht="26.25" customHeight="1">
      <c r="A410" s="98" t="s">
        <v>593</v>
      </c>
      <c r="B410" s="196" t="s">
        <v>92</v>
      </c>
      <c r="C410" s="94">
        <v>1030</v>
      </c>
      <c r="D410" s="156"/>
      <c r="E410" s="156"/>
      <c r="F410" s="156">
        <f>F411</f>
        <v>5</v>
      </c>
      <c r="G410" s="191">
        <f t="shared" ref="G410:G411" si="71">F410-E410</f>
        <v>5</v>
      </c>
      <c r="H410" s="191"/>
    </row>
    <row r="411" spans="1:8" ht="26.25" customHeight="1">
      <c r="A411" s="75" t="s">
        <v>594</v>
      </c>
      <c r="B411" s="78" t="s">
        <v>92</v>
      </c>
      <c r="C411" s="77">
        <v>1035</v>
      </c>
      <c r="D411" s="33"/>
      <c r="E411" s="33"/>
      <c r="F411" s="33">
        <f>F412</f>
        <v>5</v>
      </c>
      <c r="G411" s="188">
        <f t="shared" si="71"/>
        <v>5</v>
      </c>
      <c r="H411" s="188"/>
    </row>
    <row r="412" spans="1:8" ht="26.25" customHeight="1">
      <c r="A412" s="73"/>
      <c r="B412" s="60" t="s">
        <v>449</v>
      </c>
      <c r="C412" s="104"/>
      <c r="D412" s="30"/>
      <c r="E412" s="30"/>
      <c r="F412" s="30">
        <v>5</v>
      </c>
      <c r="G412" s="93">
        <f>F412-E412</f>
        <v>5</v>
      </c>
      <c r="H412" s="93"/>
    </row>
    <row r="413" spans="1:8" ht="39" customHeight="1">
      <c r="A413" s="98" t="s">
        <v>595</v>
      </c>
      <c r="B413" s="97" t="s">
        <v>368</v>
      </c>
      <c r="C413" s="89"/>
      <c r="D413" s="29">
        <f>D414</f>
        <v>6.6</v>
      </c>
      <c r="E413" s="29"/>
      <c r="F413" s="29">
        <f>F414</f>
        <v>8.1999999999999993</v>
      </c>
      <c r="G413" s="91">
        <f>F413-E413</f>
        <v>8.1999999999999993</v>
      </c>
      <c r="H413" s="93"/>
    </row>
    <row r="414" spans="1:8" ht="26.25" customHeight="1">
      <c r="A414" s="98" t="s">
        <v>596</v>
      </c>
      <c r="B414" s="196" t="s">
        <v>92</v>
      </c>
      <c r="C414" s="94">
        <v>1030</v>
      </c>
      <c r="D414" s="156">
        <f>D415</f>
        <v>6.6</v>
      </c>
      <c r="E414" s="156"/>
      <c r="F414" s="156">
        <f>F415</f>
        <v>8.1999999999999993</v>
      </c>
      <c r="G414" s="191">
        <f t="shared" ref="G414:G417" si="72">F414-E414</f>
        <v>8.1999999999999993</v>
      </c>
      <c r="H414" s="191"/>
    </row>
    <row r="415" spans="1:8" ht="26.25" customHeight="1">
      <c r="A415" s="75" t="s">
        <v>597</v>
      </c>
      <c r="B415" s="78" t="s">
        <v>92</v>
      </c>
      <c r="C415" s="77">
        <v>1035</v>
      </c>
      <c r="D415" s="33">
        <f>D416</f>
        <v>6.6</v>
      </c>
      <c r="E415" s="33"/>
      <c r="F415" s="33">
        <f>F416</f>
        <v>8.1999999999999993</v>
      </c>
      <c r="G415" s="188">
        <f t="shared" si="72"/>
        <v>8.1999999999999993</v>
      </c>
      <c r="H415" s="188"/>
    </row>
    <row r="416" spans="1:8" ht="26.25" customHeight="1">
      <c r="A416" s="81"/>
      <c r="B416" s="70" t="s">
        <v>206</v>
      </c>
      <c r="C416" s="67"/>
      <c r="D416" s="30">
        <v>6.6</v>
      </c>
      <c r="E416" s="30"/>
      <c r="F416" s="30">
        <f>5.3+2.9</f>
        <v>8.1999999999999993</v>
      </c>
      <c r="G416" s="93">
        <f t="shared" si="72"/>
        <v>8.1999999999999993</v>
      </c>
      <c r="H416" s="93"/>
    </row>
    <row r="417" spans="1:8" ht="26.25" customHeight="1">
      <c r="A417" s="73" t="s">
        <v>598</v>
      </c>
      <c r="B417" s="97" t="s">
        <v>369</v>
      </c>
      <c r="C417" s="104"/>
      <c r="D417" s="29"/>
      <c r="E417" s="29"/>
      <c r="F417" s="29">
        <f>F419+F422</f>
        <v>1526</v>
      </c>
      <c r="G417" s="91">
        <f t="shared" si="72"/>
        <v>1526</v>
      </c>
      <c r="H417" s="93"/>
    </row>
    <row r="418" spans="1:8" ht="26.25" customHeight="1">
      <c r="A418" s="135"/>
      <c r="B418" s="64" t="s">
        <v>85</v>
      </c>
      <c r="C418" s="136"/>
      <c r="D418" s="30"/>
      <c r="E418" s="30"/>
      <c r="F418" s="30"/>
      <c r="G418" s="93"/>
      <c r="H418" s="93"/>
    </row>
    <row r="419" spans="1:8" ht="26.25" customHeight="1">
      <c r="A419" s="206" t="s">
        <v>599</v>
      </c>
      <c r="B419" s="207" t="s">
        <v>89</v>
      </c>
      <c r="C419" s="197">
        <v>1010</v>
      </c>
      <c r="D419" s="156"/>
      <c r="E419" s="156"/>
      <c r="F419" s="156">
        <f>F420</f>
        <v>1119.5999999999999</v>
      </c>
      <c r="G419" s="191">
        <f t="shared" ref="G419:G424" si="73">F419-E419</f>
        <v>1119.5999999999999</v>
      </c>
      <c r="H419" s="191"/>
    </row>
    <row r="420" spans="1:8" ht="26.25" customHeight="1">
      <c r="A420" s="75" t="s">
        <v>600</v>
      </c>
      <c r="B420" s="92" t="s">
        <v>4</v>
      </c>
      <c r="C420" s="77">
        <v>1014</v>
      </c>
      <c r="D420" s="33"/>
      <c r="E420" s="33"/>
      <c r="F420" s="33">
        <f>F421</f>
        <v>1119.5999999999999</v>
      </c>
      <c r="G420" s="188">
        <f t="shared" si="73"/>
        <v>1119.5999999999999</v>
      </c>
      <c r="H420" s="188"/>
    </row>
    <row r="421" spans="1:8" ht="26.25" customHeight="1">
      <c r="A421" s="73"/>
      <c r="B421" s="70" t="s">
        <v>216</v>
      </c>
      <c r="C421" s="104"/>
      <c r="D421" s="30"/>
      <c r="E421" s="30"/>
      <c r="F421" s="30">
        <v>1119.5999999999999</v>
      </c>
      <c r="G421" s="93">
        <f t="shared" si="73"/>
        <v>1119.5999999999999</v>
      </c>
      <c r="H421" s="93"/>
    </row>
    <row r="422" spans="1:8" ht="26.25" customHeight="1">
      <c r="A422" s="98" t="s">
        <v>601</v>
      </c>
      <c r="B422" s="190" t="s">
        <v>91</v>
      </c>
      <c r="C422" s="197">
        <v>1020</v>
      </c>
      <c r="D422" s="156"/>
      <c r="E422" s="156"/>
      <c r="F422" s="156">
        <f>F423</f>
        <v>406.4</v>
      </c>
      <c r="G422" s="191">
        <f t="shared" si="73"/>
        <v>406.4</v>
      </c>
      <c r="H422" s="191"/>
    </row>
    <row r="423" spans="1:8" ht="26.25" customHeight="1">
      <c r="A423" s="75" t="s">
        <v>602</v>
      </c>
      <c r="B423" s="92" t="s">
        <v>4</v>
      </c>
      <c r="C423" s="77">
        <v>1024</v>
      </c>
      <c r="D423" s="33"/>
      <c r="E423" s="33"/>
      <c r="F423" s="33">
        <f>F424</f>
        <v>406.4</v>
      </c>
      <c r="G423" s="188">
        <f t="shared" si="73"/>
        <v>406.4</v>
      </c>
      <c r="H423" s="188"/>
    </row>
    <row r="424" spans="1:8" ht="26.25" customHeight="1">
      <c r="A424" s="73"/>
      <c r="B424" s="70" t="s">
        <v>216</v>
      </c>
      <c r="C424" s="81"/>
      <c r="D424" s="30"/>
      <c r="E424" s="30"/>
      <c r="F424" s="30">
        <v>406.4</v>
      </c>
      <c r="G424" s="93">
        <f t="shared" si="73"/>
        <v>406.4</v>
      </c>
      <c r="H424" s="93"/>
    </row>
    <row r="425" spans="1:8" ht="26.25" customHeight="1">
      <c r="B425" s="99"/>
      <c r="D425" s="117"/>
      <c r="E425" s="100"/>
      <c r="F425" s="100"/>
    </row>
    <row r="426" spans="1:8" ht="26.25" customHeight="1">
      <c r="B426" s="241" t="s">
        <v>604</v>
      </c>
      <c r="C426" s="31"/>
      <c r="D426" s="298"/>
      <c r="E426" s="298"/>
      <c r="F426" s="138"/>
      <c r="G426" s="300" t="s">
        <v>536</v>
      </c>
      <c r="H426" s="300"/>
    </row>
    <row r="427" spans="1:8" ht="26.25" customHeight="1">
      <c r="B427" s="83" t="s">
        <v>60</v>
      </c>
      <c r="C427" s="32"/>
      <c r="D427" s="284" t="s">
        <v>66</v>
      </c>
      <c r="E427" s="284"/>
      <c r="F427" s="137"/>
      <c r="G427" s="299" t="s">
        <v>18</v>
      </c>
      <c r="H427" s="299"/>
    </row>
    <row r="428" spans="1:8" ht="26.25" customHeight="1">
      <c r="B428" s="99"/>
      <c r="D428" s="117"/>
      <c r="E428" s="100"/>
      <c r="F428" s="103"/>
    </row>
    <row r="429" spans="1:8" ht="26.25" customHeight="1">
      <c r="B429" s="99"/>
      <c r="D429" s="117"/>
      <c r="E429" s="100"/>
      <c r="F429" s="103"/>
    </row>
    <row r="430" spans="1:8" ht="26.25" customHeight="1">
      <c r="B430" s="99"/>
      <c r="D430" s="117"/>
      <c r="E430" s="100"/>
      <c r="F430" s="103"/>
    </row>
    <row r="431" spans="1:8" s="101" customFormat="1" ht="26.25" customHeight="1">
      <c r="A431" s="32"/>
      <c r="B431" s="99"/>
      <c r="C431" s="83"/>
      <c r="D431" s="117"/>
      <c r="E431" s="100"/>
      <c r="F431" s="103"/>
      <c r="G431" s="32"/>
      <c r="H431" s="32"/>
    </row>
    <row r="432" spans="1:8" s="101" customFormat="1" ht="26.25" customHeight="1">
      <c r="A432" s="32"/>
      <c r="B432" s="99"/>
      <c r="C432" s="83"/>
      <c r="D432" s="117"/>
      <c r="E432" s="100"/>
      <c r="F432" s="103"/>
      <c r="G432" s="32"/>
      <c r="H432" s="32"/>
    </row>
    <row r="433" spans="1:8" s="101" customFormat="1" ht="26.25" customHeight="1">
      <c r="A433" s="32"/>
      <c r="B433" s="99"/>
      <c r="C433" s="83"/>
      <c r="D433" s="117"/>
      <c r="E433" s="100"/>
      <c r="F433" s="103"/>
      <c r="G433" s="32"/>
      <c r="H433" s="32"/>
    </row>
    <row r="434" spans="1:8" s="101" customFormat="1" ht="26.25" customHeight="1">
      <c r="A434" s="32"/>
      <c r="B434" s="99"/>
      <c r="C434" s="83"/>
      <c r="D434" s="117"/>
      <c r="E434" s="100"/>
      <c r="F434" s="103"/>
      <c r="G434" s="32"/>
      <c r="H434" s="32"/>
    </row>
    <row r="435" spans="1:8" s="101" customFormat="1" ht="26.25" customHeight="1">
      <c r="A435" s="32"/>
      <c r="B435" s="99"/>
      <c r="C435" s="83"/>
      <c r="D435" s="117"/>
      <c r="E435" s="100"/>
      <c r="F435" s="103"/>
      <c r="G435" s="32"/>
      <c r="H435" s="32"/>
    </row>
    <row r="436" spans="1:8" s="101" customFormat="1" ht="26.25" customHeight="1">
      <c r="A436" s="32"/>
      <c r="B436" s="99"/>
      <c r="C436" s="83"/>
      <c r="D436" s="117"/>
      <c r="E436" s="100"/>
      <c r="F436" s="103"/>
      <c r="G436" s="32"/>
      <c r="H436" s="32"/>
    </row>
    <row r="437" spans="1:8" s="101" customFormat="1" ht="26.25" customHeight="1">
      <c r="A437" s="32"/>
      <c r="B437" s="99"/>
      <c r="C437" s="83"/>
      <c r="D437" s="117"/>
      <c r="E437" s="100"/>
      <c r="F437" s="103"/>
      <c r="G437" s="32"/>
      <c r="H437" s="32"/>
    </row>
    <row r="438" spans="1:8" s="101" customFormat="1" ht="26.25" customHeight="1">
      <c r="A438" s="32"/>
      <c r="B438" s="99"/>
      <c r="C438" s="83"/>
      <c r="D438" s="117"/>
      <c r="E438" s="100"/>
      <c r="F438" s="103"/>
      <c r="G438" s="32"/>
      <c r="H438" s="32"/>
    </row>
    <row r="439" spans="1:8" s="101" customFormat="1" ht="26.25" customHeight="1">
      <c r="A439" s="32"/>
      <c r="B439" s="99"/>
      <c r="C439" s="83"/>
      <c r="D439" s="117"/>
      <c r="E439" s="100"/>
      <c r="F439" s="103"/>
      <c r="G439" s="32"/>
      <c r="H439" s="32"/>
    </row>
    <row r="440" spans="1:8" s="101" customFormat="1" ht="26.25" customHeight="1">
      <c r="A440" s="32"/>
      <c r="B440" s="99"/>
      <c r="C440" s="83"/>
      <c r="D440" s="117"/>
      <c r="E440" s="100"/>
      <c r="F440" s="103"/>
      <c r="G440" s="32"/>
      <c r="H440" s="32"/>
    </row>
    <row r="441" spans="1:8" s="101" customFormat="1" ht="26.25" customHeight="1">
      <c r="A441" s="32"/>
      <c r="B441" s="99"/>
      <c r="C441" s="83"/>
      <c r="D441" s="117"/>
      <c r="E441" s="100"/>
      <c r="F441" s="103"/>
      <c r="G441" s="32"/>
      <c r="H441" s="32"/>
    </row>
    <row r="442" spans="1:8" s="101" customFormat="1" ht="26.25" customHeight="1">
      <c r="A442" s="32"/>
      <c r="B442" s="99"/>
      <c r="C442" s="83"/>
      <c r="D442" s="117"/>
      <c r="E442" s="100"/>
      <c r="F442" s="103"/>
      <c r="G442" s="32"/>
      <c r="H442" s="32"/>
    </row>
    <row r="443" spans="1:8" s="101" customFormat="1" ht="26.25" customHeight="1">
      <c r="A443" s="32"/>
      <c r="B443" s="99"/>
      <c r="C443" s="83"/>
      <c r="D443" s="117"/>
      <c r="E443" s="100"/>
      <c r="F443" s="103"/>
      <c r="G443" s="32"/>
      <c r="H443" s="32"/>
    </row>
    <row r="444" spans="1:8" s="101" customFormat="1" ht="26.25" customHeight="1">
      <c r="A444" s="32"/>
      <c r="B444" s="99"/>
      <c r="C444" s="83"/>
      <c r="D444" s="117"/>
      <c r="E444" s="100"/>
      <c r="F444" s="103"/>
      <c r="G444" s="32"/>
      <c r="H444" s="32"/>
    </row>
    <row r="445" spans="1:8" s="101" customFormat="1" ht="26.25" customHeight="1">
      <c r="A445" s="32"/>
      <c r="B445" s="99"/>
      <c r="C445" s="83"/>
      <c r="D445" s="117"/>
      <c r="E445" s="100"/>
      <c r="F445" s="103"/>
      <c r="G445" s="32"/>
      <c r="H445" s="32"/>
    </row>
    <row r="446" spans="1:8" s="101" customFormat="1" ht="26.25" customHeight="1">
      <c r="A446" s="32"/>
      <c r="B446" s="99"/>
      <c r="C446" s="83"/>
      <c r="D446" s="117"/>
      <c r="E446" s="100"/>
      <c r="F446" s="103"/>
      <c r="G446" s="32"/>
      <c r="H446" s="32"/>
    </row>
    <row r="447" spans="1:8" ht="26.25" customHeight="1">
      <c r="B447" s="99"/>
      <c r="D447" s="117"/>
      <c r="E447" s="100"/>
      <c r="F447" s="103"/>
    </row>
    <row r="448" spans="1:8" ht="26.25" customHeight="1">
      <c r="B448" s="99"/>
      <c r="D448" s="117"/>
      <c r="E448" s="100"/>
      <c r="F448" s="103"/>
    </row>
    <row r="449" spans="2:6" ht="26.25" customHeight="1">
      <c r="B449" s="99"/>
      <c r="D449" s="117"/>
      <c r="E449" s="100"/>
      <c r="F449" s="103"/>
    </row>
    <row r="450" spans="2:6" ht="26.25" customHeight="1">
      <c r="B450" s="99"/>
      <c r="D450" s="117"/>
      <c r="E450" s="100"/>
      <c r="F450" s="103"/>
    </row>
    <row r="451" spans="2:6" ht="26.25" customHeight="1">
      <c r="B451" s="99"/>
      <c r="D451" s="117"/>
      <c r="E451" s="100"/>
      <c r="F451" s="103"/>
    </row>
    <row r="452" spans="2:6" ht="26.25" customHeight="1">
      <c r="B452" s="99"/>
      <c r="D452" s="117"/>
      <c r="E452" s="100"/>
      <c r="F452" s="103"/>
    </row>
    <row r="453" spans="2:6" ht="26.25" customHeight="1">
      <c r="B453" s="99"/>
      <c r="D453" s="117"/>
      <c r="E453" s="100"/>
      <c r="F453" s="103"/>
    </row>
    <row r="454" spans="2:6" ht="26.25" customHeight="1">
      <c r="B454" s="99"/>
      <c r="D454" s="117"/>
      <c r="E454" s="100"/>
      <c r="F454" s="103"/>
    </row>
    <row r="455" spans="2:6" ht="26.25" customHeight="1">
      <c r="B455" s="99"/>
      <c r="D455" s="117"/>
      <c r="E455" s="100"/>
      <c r="F455" s="103"/>
    </row>
    <row r="456" spans="2:6" ht="26.25" customHeight="1">
      <c r="B456" s="99"/>
      <c r="D456" s="117"/>
      <c r="E456" s="100"/>
      <c r="F456" s="103"/>
    </row>
    <row r="457" spans="2:6" ht="26.25" customHeight="1">
      <c r="B457" s="99"/>
      <c r="D457" s="117"/>
      <c r="E457" s="100"/>
      <c r="F457" s="103"/>
    </row>
    <row r="458" spans="2:6" ht="26.25" customHeight="1">
      <c r="B458" s="99"/>
      <c r="D458" s="117"/>
      <c r="E458" s="100"/>
      <c r="F458" s="103"/>
    </row>
    <row r="459" spans="2:6" ht="26.25" customHeight="1">
      <c r="B459" s="99"/>
      <c r="D459" s="117"/>
      <c r="E459" s="100"/>
      <c r="F459" s="103"/>
    </row>
    <row r="460" spans="2:6" ht="26.25" customHeight="1">
      <c r="B460" s="99"/>
      <c r="D460" s="117"/>
      <c r="E460" s="100"/>
      <c r="F460" s="103"/>
    </row>
    <row r="461" spans="2:6" ht="26.25" customHeight="1">
      <c r="B461" s="99"/>
      <c r="D461" s="117"/>
      <c r="E461" s="100"/>
      <c r="F461" s="103"/>
    </row>
    <row r="462" spans="2:6" ht="26.25" customHeight="1">
      <c r="B462" s="99"/>
      <c r="D462" s="117"/>
      <c r="E462" s="100"/>
      <c r="F462" s="103"/>
    </row>
    <row r="463" spans="2:6" ht="26.25" customHeight="1">
      <c r="B463" s="99"/>
      <c r="D463" s="117"/>
      <c r="E463" s="100"/>
      <c r="F463" s="103"/>
    </row>
    <row r="464" spans="2:6" ht="26.25" customHeight="1">
      <c r="B464" s="99"/>
      <c r="D464" s="117"/>
      <c r="E464" s="100"/>
      <c r="F464" s="103"/>
    </row>
    <row r="465" spans="2:6" ht="26.25" customHeight="1">
      <c r="B465" s="99"/>
      <c r="D465" s="117"/>
      <c r="E465" s="100"/>
      <c r="F465" s="103"/>
    </row>
    <row r="466" spans="2:6" ht="26.25" customHeight="1">
      <c r="B466" s="99"/>
      <c r="D466" s="117"/>
      <c r="E466" s="100"/>
      <c r="F466" s="103"/>
    </row>
    <row r="467" spans="2:6" ht="26.25" customHeight="1">
      <c r="B467" s="99"/>
      <c r="D467" s="117"/>
      <c r="E467" s="100"/>
      <c r="F467" s="103"/>
    </row>
    <row r="468" spans="2:6" ht="26.25" customHeight="1">
      <c r="B468" s="99"/>
      <c r="D468" s="117"/>
      <c r="E468" s="100"/>
      <c r="F468" s="103"/>
    </row>
    <row r="469" spans="2:6" ht="26.25" customHeight="1">
      <c r="B469" s="99"/>
      <c r="D469" s="117"/>
      <c r="E469" s="100"/>
      <c r="F469" s="103"/>
    </row>
    <row r="470" spans="2:6" ht="26.25" customHeight="1">
      <c r="B470" s="99"/>
      <c r="D470" s="117"/>
      <c r="E470" s="100"/>
      <c r="F470" s="103"/>
    </row>
    <row r="471" spans="2:6" ht="26.25" customHeight="1">
      <c r="B471" s="99"/>
      <c r="D471" s="117"/>
      <c r="E471" s="100"/>
      <c r="F471" s="103"/>
    </row>
    <row r="472" spans="2:6" ht="26.25" customHeight="1">
      <c r="B472" s="99"/>
      <c r="D472" s="117"/>
      <c r="E472" s="100"/>
      <c r="F472" s="103"/>
    </row>
    <row r="473" spans="2:6" ht="26.25" customHeight="1">
      <c r="B473" s="99"/>
      <c r="D473" s="117"/>
      <c r="E473" s="100"/>
      <c r="F473" s="103"/>
    </row>
    <row r="474" spans="2:6" ht="26.25" customHeight="1">
      <c r="B474" s="99"/>
      <c r="D474" s="117"/>
      <c r="E474" s="100"/>
      <c r="F474" s="103"/>
    </row>
    <row r="475" spans="2:6" ht="26.25" customHeight="1">
      <c r="B475" s="99"/>
      <c r="D475" s="117"/>
      <c r="E475" s="100"/>
      <c r="F475" s="103"/>
    </row>
    <row r="476" spans="2:6" ht="26.25" customHeight="1">
      <c r="B476" s="99"/>
      <c r="D476" s="117"/>
      <c r="E476" s="100"/>
      <c r="F476" s="103"/>
    </row>
    <row r="477" spans="2:6" ht="26.25" customHeight="1">
      <c r="B477" s="99"/>
      <c r="D477" s="117"/>
      <c r="E477" s="100"/>
      <c r="F477" s="103"/>
    </row>
    <row r="478" spans="2:6" ht="26.25" customHeight="1">
      <c r="B478" s="99"/>
      <c r="D478" s="117"/>
      <c r="E478" s="100"/>
      <c r="F478" s="103"/>
    </row>
    <row r="479" spans="2:6" ht="26.25" customHeight="1">
      <c r="B479" s="99"/>
      <c r="D479" s="117"/>
      <c r="E479" s="100"/>
      <c r="F479" s="103"/>
    </row>
    <row r="480" spans="2:6" ht="26.25" customHeight="1">
      <c r="B480" s="99"/>
      <c r="D480" s="117"/>
      <c r="E480" s="100"/>
      <c r="F480" s="103"/>
    </row>
    <row r="481" spans="2:6" ht="26.25" customHeight="1">
      <c r="B481" s="99"/>
      <c r="D481" s="117"/>
      <c r="E481" s="100"/>
      <c r="F481" s="103"/>
    </row>
    <row r="482" spans="2:6" ht="26.25" customHeight="1">
      <c r="B482" s="99"/>
    </row>
    <row r="483" spans="2:6" ht="26.25" customHeight="1">
      <c r="B483" s="102"/>
    </row>
    <row r="484" spans="2:6" ht="26.25" customHeight="1">
      <c r="B484" s="102"/>
    </row>
    <row r="485" spans="2:6" ht="26.25" customHeight="1">
      <c r="B485" s="102"/>
    </row>
    <row r="486" spans="2:6" ht="26.25" customHeight="1">
      <c r="B486" s="102"/>
    </row>
    <row r="487" spans="2:6" ht="26.25" customHeight="1">
      <c r="B487" s="102"/>
    </row>
    <row r="488" spans="2:6" ht="26.25" customHeight="1">
      <c r="B488" s="102"/>
    </row>
    <row r="489" spans="2:6" ht="26.25" customHeight="1">
      <c r="B489" s="102"/>
    </row>
    <row r="490" spans="2:6" ht="26.25" customHeight="1">
      <c r="B490" s="102"/>
    </row>
    <row r="491" spans="2:6" ht="26.25" customHeight="1">
      <c r="B491" s="102"/>
    </row>
    <row r="492" spans="2:6" ht="26.25" customHeight="1">
      <c r="B492" s="102"/>
    </row>
    <row r="493" spans="2:6" ht="26.25" customHeight="1">
      <c r="B493" s="102"/>
    </row>
    <row r="494" spans="2:6" ht="26.25" customHeight="1">
      <c r="B494" s="102"/>
    </row>
    <row r="495" spans="2:6" ht="26.25" customHeight="1">
      <c r="B495" s="102"/>
    </row>
    <row r="496" spans="2:6" ht="26.25" customHeight="1">
      <c r="B496" s="102"/>
    </row>
    <row r="497" spans="2:2" ht="26.25" customHeight="1">
      <c r="B497" s="102"/>
    </row>
    <row r="498" spans="2:2" ht="26.25" customHeight="1">
      <c r="B498" s="102"/>
    </row>
    <row r="499" spans="2:2" ht="26.25" customHeight="1">
      <c r="B499" s="102"/>
    </row>
    <row r="500" spans="2:2" ht="26.25" customHeight="1">
      <c r="B500" s="102"/>
    </row>
    <row r="501" spans="2:2" ht="26.25" customHeight="1">
      <c r="B501" s="102"/>
    </row>
    <row r="502" spans="2:2" ht="26.25" customHeight="1">
      <c r="B502" s="102"/>
    </row>
    <row r="503" spans="2:2" ht="26.25" customHeight="1">
      <c r="B503" s="102"/>
    </row>
    <row r="504" spans="2:2" ht="26.25" customHeight="1">
      <c r="B504" s="102"/>
    </row>
    <row r="505" spans="2:2" ht="26.25" customHeight="1">
      <c r="B505" s="102"/>
    </row>
    <row r="506" spans="2:2" ht="26.25" customHeight="1">
      <c r="B506" s="102"/>
    </row>
    <row r="507" spans="2:2" ht="26.25" customHeight="1">
      <c r="B507" s="102"/>
    </row>
    <row r="508" spans="2:2" ht="26.25" customHeight="1">
      <c r="B508" s="102"/>
    </row>
    <row r="509" spans="2:2" ht="26.25" customHeight="1">
      <c r="B509" s="102"/>
    </row>
    <row r="510" spans="2:2" ht="26.25" customHeight="1">
      <c r="B510" s="102"/>
    </row>
    <row r="511" spans="2:2" ht="26.25" customHeight="1">
      <c r="B511" s="102"/>
    </row>
    <row r="512" spans="2:2" ht="26.25" customHeight="1">
      <c r="B512" s="102"/>
    </row>
    <row r="513" spans="2:2" ht="26.25" customHeight="1">
      <c r="B513" s="102"/>
    </row>
    <row r="514" spans="2:2" ht="26.25" customHeight="1">
      <c r="B514" s="102"/>
    </row>
    <row r="515" spans="2:2" ht="26.25" customHeight="1">
      <c r="B515" s="102"/>
    </row>
    <row r="516" spans="2:2" ht="26.25" customHeight="1">
      <c r="B516" s="102"/>
    </row>
    <row r="517" spans="2:2" ht="26.25" customHeight="1">
      <c r="B517" s="102"/>
    </row>
    <row r="518" spans="2:2" ht="26.25" customHeight="1">
      <c r="B518" s="102"/>
    </row>
    <row r="519" spans="2:2" ht="26.25" customHeight="1">
      <c r="B519" s="102"/>
    </row>
    <row r="520" spans="2:2" ht="26.25" customHeight="1">
      <c r="B520" s="102"/>
    </row>
    <row r="521" spans="2:2" ht="26.25" customHeight="1">
      <c r="B521" s="102"/>
    </row>
    <row r="522" spans="2:2" ht="26.25" customHeight="1">
      <c r="B522" s="102"/>
    </row>
    <row r="523" spans="2:2" ht="26.25" customHeight="1">
      <c r="B523" s="102"/>
    </row>
    <row r="524" spans="2:2" ht="26.25" customHeight="1">
      <c r="B524" s="102"/>
    </row>
    <row r="525" spans="2:2" ht="26.25" customHeight="1">
      <c r="B525" s="102"/>
    </row>
    <row r="526" spans="2:2" ht="26.25" customHeight="1">
      <c r="B526" s="102"/>
    </row>
    <row r="527" spans="2:2" ht="26.25" customHeight="1">
      <c r="B527" s="102"/>
    </row>
    <row r="528" spans="2:2" ht="26.25" customHeight="1">
      <c r="B528" s="102"/>
    </row>
    <row r="529" spans="2:2" ht="26.25" customHeight="1">
      <c r="B529" s="102"/>
    </row>
    <row r="530" spans="2:2" ht="26.25" customHeight="1">
      <c r="B530" s="102"/>
    </row>
    <row r="531" spans="2:2" ht="26.25" customHeight="1">
      <c r="B531" s="102"/>
    </row>
    <row r="532" spans="2:2" ht="26.25" customHeight="1">
      <c r="B532" s="102"/>
    </row>
    <row r="533" spans="2:2" ht="26.25" customHeight="1">
      <c r="B533" s="102"/>
    </row>
    <row r="534" spans="2:2" ht="26.25" customHeight="1">
      <c r="B534" s="102"/>
    </row>
    <row r="535" spans="2:2" ht="26.25" customHeight="1">
      <c r="B535" s="102"/>
    </row>
    <row r="536" spans="2:2" ht="26.25" customHeight="1">
      <c r="B536" s="102"/>
    </row>
    <row r="537" spans="2:2" ht="26.25" customHeight="1">
      <c r="B537" s="102"/>
    </row>
    <row r="538" spans="2:2" ht="26.25" customHeight="1">
      <c r="B538" s="102"/>
    </row>
    <row r="539" spans="2:2" ht="26.25" customHeight="1">
      <c r="B539" s="102"/>
    </row>
    <row r="540" spans="2:2" ht="26.25" customHeight="1">
      <c r="B540" s="102"/>
    </row>
    <row r="541" spans="2:2" ht="26.25" customHeight="1">
      <c r="B541" s="102"/>
    </row>
    <row r="542" spans="2:2" ht="26.25" customHeight="1">
      <c r="B542" s="102"/>
    </row>
    <row r="543" spans="2:2" ht="26.25" customHeight="1">
      <c r="B543" s="102"/>
    </row>
    <row r="544" spans="2:2" ht="26.25" customHeight="1">
      <c r="B544" s="102"/>
    </row>
    <row r="545" spans="2:2" ht="26.25" customHeight="1">
      <c r="B545" s="102"/>
    </row>
    <row r="546" spans="2:2" ht="26.25" customHeight="1">
      <c r="B546" s="102"/>
    </row>
    <row r="547" spans="2:2" ht="26.25" customHeight="1">
      <c r="B547" s="102"/>
    </row>
    <row r="548" spans="2:2" ht="26.25" customHeight="1">
      <c r="B548" s="102"/>
    </row>
    <row r="549" spans="2:2" ht="26.25" customHeight="1">
      <c r="B549" s="102"/>
    </row>
    <row r="550" spans="2:2" ht="26.25" customHeight="1">
      <c r="B550" s="102"/>
    </row>
    <row r="551" spans="2:2" ht="26.25" customHeight="1">
      <c r="B551" s="102"/>
    </row>
    <row r="552" spans="2:2" ht="26.25" customHeight="1">
      <c r="B552" s="102"/>
    </row>
    <row r="553" spans="2:2" ht="26.25" customHeight="1">
      <c r="B553" s="102"/>
    </row>
    <row r="554" spans="2:2" ht="26.25" customHeight="1">
      <c r="B554" s="102"/>
    </row>
    <row r="555" spans="2:2" ht="26.25" customHeight="1">
      <c r="B555" s="102"/>
    </row>
    <row r="556" spans="2:2" ht="26.25" customHeight="1">
      <c r="B556" s="102"/>
    </row>
    <row r="557" spans="2:2" ht="26.25" customHeight="1">
      <c r="B557" s="102"/>
    </row>
    <row r="558" spans="2:2" ht="26.25" customHeight="1">
      <c r="B558" s="102"/>
    </row>
    <row r="559" spans="2:2" ht="26.25" customHeight="1">
      <c r="B559" s="102"/>
    </row>
    <row r="560" spans="2:2" ht="26.25" customHeight="1">
      <c r="B560" s="102"/>
    </row>
    <row r="561" spans="2:2" ht="26.25" customHeight="1">
      <c r="B561" s="102"/>
    </row>
    <row r="562" spans="2:2" ht="26.25" customHeight="1">
      <c r="B562" s="102"/>
    </row>
    <row r="563" spans="2:2" ht="26.25" customHeight="1">
      <c r="B563" s="102"/>
    </row>
    <row r="564" spans="2:2" ht="26.25" customHeight="1">
      <c r="B564" s="102"/>
    </row>
    <row r="565" spans="2:2" ht="26.25" customHeight="1">
      <c r="B565" s="102"/>
    </row>
    <row r="566" spans="2:2" ht="26.25" customHeight="1">
      <c r="B566" s="102"/>
    </row>
    <row r="567" spans="2:2" ht="26.25" customHeight="1">
      <c r="B567" s="102"/>
    </row>
    <row r="568" spans="2:2" ht="26.25" customHeight="1">
      <c r="B568" s="102"/>
    </row>
    <row r="569" spans="2:2" ht="26.25" customHeight="1">
      <c r="B569" s="102"/>
    </row>
    <row r="570" spans="2:2" ht="26.25" customHeight="1">
      <c r="B570" s="102"/>
    </row>
    <row r="571" spans="2:2" ht="26.25" customHeight="1">
      <c r="B571" s="102"/>
    </row>
    <row r="572" spans="2:2" ht="26.25" customHeight="1">
      <c r="B572" s="102"/>
    </row>
    <row r="573" spans="2:2" ht="26.25" customHeight="1">
      <c r="B573" s="102"/>
    </row>
    <row r="574" spans="2:2" ht="26.25" customHeight="1">
      <c r="B574" s="102"/>
    </row>
    <row r="575" spans="2:2" ht="26.25" customHeight="1">
      <c r="B575" s="102"/>
    </row>
    <row r="576" spans="2:2" ht="26.25" customHeight="1">
      <c r="B576" s="102"/>
    </row>
    <row r="577" spans="2:2" ht="26.25" customHeight="1">
      <c r="B577" s="102"/>
    </row>
    <row r="578" spans="2:2" ht="26.25" customHeight="1">
      <c r="B578" s="102"/>
    </row>
    <row r="579" spans="2:2" ht="26.25" customHeight="1">
      <c r="B579" s="102"/>
    </row>
    <row r="580" spans="2:2" ht="26.25" customHeight="1">
      <c r="B580" s="102"/>
    </row>
    <row r="581" spans="2:2" ht="26.25" customHeight="1">
      <c r="B581" s="102"/>
    </row>
    <row r="582" spans="2:2" ht="26.25" customHeight="1">
      <c r="B582" s="102"/>
    </row>
    <row r="583" spans="2:2" ht="26.25" customHeight="1">
      <c r="B583" s="102"/>
    </row>
    <row r="584" spans="2:2" ht="26.25" customHeight="1">
      <c r="B584" s="102"/>
    </row>
    <row r="585" spans="2:2" ht="26.25" customHeight="1">
      <c r="B585" s="102"/>
    </row>
    <row r="586" spans="2:2" ht="26.25" customHeight="1">
      <c r="B586" s="102"/>
    </row>
    <row r="587" spans="2:2" ht="26.25" customHeight="1">
      <c r="B587" s="102"/>
    </row>
    <row r="588" spans="2:2" ht="26.25" customHeight="1">
      <c r="B588" s="102"/>
    </row>
    <row r="589" spans="2:2" ht="26.25" customHeight="1">
      <c r="B589" s="102"/>
    </row>
    <row r="590" spans="2:2" ht="26.25" customHeight="1">
      <c r="B590" s="102"/>
    </row>
    <row r="591" spans="2:2" ht="26.25" customHeight="1">
      <c r="B591" s="102"/>
    </row>
    <row r="592" spans="2:2" ht="26.25" customHeight="1">
      <c r="B592" s="102"/>
    </row>
    <row r="593" spans="2:2" ht="26.25" customHeight="1">
      <c r="B593" s="102"/>
    </row>
    <row r="594" spans="2:2" ht="26.25" customHeight="1">
      <c r="B594" s="102"/>
    </row>
    <row r="595" spans="2:2" ht="26.25" customHeight="1">
      <c r="B595" s="102"/>
    </row>
    <row r="596" spans="2:2" ht="26.25" customHeight="1">
      <c r="B596" s="102"/>
    </row>
    <row r="597" spans="2:2" ht="26.25" customHeight="1">
      <c r="B597" s="102"/>
    </row>
    <row r="598" spans="2:2" ht="26.25" customHeight="1">
      <c r="B598" s="102"/>
    </row>
    <row r="599" spans="2:2" ht="26.25" customHeight="1">
      <c r="B599" s="102"/>
    </row>
    <row r="600" spans="2:2" ht="26.25" customHeight="1">
      <c r="B600" s="102"/>
    </row>
    <row r="601" spans="2:2" ht="26.25" customHeight="1">
      <c r="B601" s="102"/>
    </row>
    <row r="602" spans="2:2" ht="26.25" customHeight="1">
      <c r="B602" s="102"/>
    </row>
    <row r="603" spans="2:2" ht="26.25" customHeight="1">
      <c r="B603" s="102"/>
    </row>
    <row r="604" spans="2:2" ht="26.25" customHeight="1">
      <c r="B604" s="102"/>
    </row>
    <row r="605" spans="2:2" ht="26.25" customHeight="1">
      <c r="B605" s="102"/>
    </row>
    <row r="606" spans="2:2" ht="26.25" customHeight="1">
      <c r="B606" s="102"/>
    </row>
    <row r="607" spans="2:2" ht="26.25" customHeight="1">
      <c r="B607" s="102"/>
    </row>
    <row r="608" spans="2:2" ht="26.25" customHeight="1">
      <c r="B608" s="102"/>
    </row>
    <row r="609" spans="2:2" ht="26.25" customHeight="1">
      <c r="B609" s="102"/>
    </row>
    <row r="610" spans="2:2" ht="26.25" customHeight="1">
      <c r="B610" s="102"/>
    </row>
    <row r="611" spans="2:2" ht="26.25" customHeight="1">
      <c r="B611" s="102"/>
    </row>
    <row r="612" spans="2:2" ht="26.25" customHeight="1">
      <c r="B612" s="102"/>
    </row>
    <row r="613" spans="2:2" ht="26.25" customHeight="1">
      <c r="B613" s="102"/>
    </row>
    <row r="614" spans="2:2" ht="26.25" customHeight="1">
      <c r="B614" s="102"/>
    </row>
    <row r="615" spans="2:2" ht="26.25" customHeight="1">
      <c r="B615" s="102"/>
    </row>
    <row r="616" spans="2:2" ht="26.25" customHeight="1">
      <c r="B616" s="102"/>
    </row>
    <row r="617" spans="2:2" ht="26.25" customHeight="1">
      <c r="B617" s="102"/>
    </row>
    <row r="618" spans="2:2" ht="26.25" customHeight="1">
      <c r="B618" s="102"/>
    </row>
    <row r="619" spans="2:2" ht="26.25" customHeight="1">
      <c r="B619" s="102"/>
    </row>
    <row r="620" spans="2:2" ht="26.25" customHeight="1">
      <c r="B620" s="102"/>
    </row>
    <row r="621" spans="2:2" ht="26.25" customHeight="1">
      <c r="B621" s="102"/>
    </row>
    <row r="622" spans="2:2" ht="26.25" customHeight="1">
      <c r="B622" s="102"/>
    </row>
    <row r="623" spans="2:2" ht="26.25" customHeight="1">
      <c r="B623" s="102"/>
    </row>
    <row r="624" spans="2:2" ht="26.25" customHeight="1">
      <c r="B624" s="102"/>
    </row>
    <row r="625" spans="2:2" ht="26.25" customHeight="1">
      <c r="B625" s="102"/>
    </row>
    <row r="626" spans="2:2" ht="26.25" customHeight="1">
      <c r="B626" s="102"/>
    </row>
    <row r="627" spans="2:2" ht="26.25" customHeight="1">
      <c r="B627" s="102"/>
    </row>
    <row r="628" spans="2:2" ht="26.25" customHeight="1">
      <c r="B628" s="102"/>
    </row>
    <row r="629" spans="2:2" ht="26.25" customHeight="1">
      <c r="B629" s="102"/>
    </row>
    <row r="630" spans="2:2" ht="26.25" customHeight="1">
      <c r="B630" s="102"/>
    </row>
    <row r="631" spans="2:2" ht="26.25" customHeight="1">
      <c r="B631" s="102"/>
    </row>
    <row r="632" spans="2:2" ht="26.25" customHeight="1">
      <c r="B632" s="102"/>
    </row>
    <row r="633" spans="2:2" ht="26.25" customHeight="1">
      <c r="B633" s="102"/>
    </row>
    <row r="634" spans="2:2" ht="26.25" customHeight="1">
      <c r="B634" s="102"/>
    </row>
    <row r="635" spans="2:2" ht="26.25" customHeight="1">
      <c r="B635" s="102"/>
    </row>
    <row r="636" spans="2:2" ht="26.25" customHeight="1">
      <c r="B636" s="102"/>
    </row>
    <row r="637" spans="2:2" ht="26.25" customHeight="1">
      <c r="B637" s="102"/>
    </row>
    <row r="638" spans="2:2" ht="26.25" customHeight="1">
      <c r="B638" s="102"/>
    </row>
    <row r="639" spans="2:2" ht="26.25" customHeight="1">
      <c r="B639" s="102"/>
    </row>
    <row r="640" spans="2:2" ht="26.25" customHeight="1">
      <c r="B640" s="102"/>
    </row>
    <row r="641" spans="2:2" ht="26.25" customHeight="1">
      <c r="B641" s="102"/>
    </row>
    <row r="642" spans="2:2" ht="26.25" customHeight="1">
      <c r="B642" s="102"/>
    </row>
    <row r="643" spans="2:2" ht="26.25" customHeight="1">
      <c r="B643" s="102"/>
    </row>
    <row r="644" spans="2:2" ht="26.25" customHeight="1">
      <c r="B644" s="102"/>
    </row>
    <row r="645" spans="2:2" ht="26.25" customHeight="1">
      <c r="B645" s="102"/>
    </row>
    <row r="646" spans="2:2" ht="26.25" customHeight="1">
      <c r="B646" s="102"/>
    </row>
    <row r="647" spans="2:2" ht="26.25" customHeight="1">
      <c r="B647" s="102"/>
    </row>
    <row r="648" spans="2:2" ht="26.25" customHeight="1">
      <c r="B648" s="102"/>
    </row>
    <row r="649" spans="2:2" ht="26.25" customHeight="1">
      <c r="B649" s="102"/>
    </row>
  </sheetData>
  <mergeCells count="9">
    <mergeCell ref="Q9:Q10"/>
    <mergeCell ref="R9:R10"/>
    <mergeCell ref="D426:E426"/>
    <mergeCell ref="D427:E427"/>
    <mergeCell ref="B2:H2"/>
    <mergeCell ref="A6:B6"/>
    <mergeCell ref="G427:H427"/>
    <mergeCell ref="G426:H426"/>
    <mergeCell ref="P9:P10"/>
  </mergeCells>
  <pageMargins left="0.23622047244094491" right="0.23622047244094491" top="0.23622047244094491" bottom="0.23622047244094491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360"/>
  <sheetViews>
    <sheetView view="pageBreakPreview" zoomScale="60" workbookViewId="0">
      <selection activeCell="F27" sqref="F27"/>
    </sheetView>
  </sheetViews>
  <sheetFormatPr defaultRowHeight="18.75"/>
  <cols>
    <col min="1" max="1" width="60.28515625" style="32" customWidth="1"/>
    <col min="2" max="2" width="12" style="151" customWidth="1"/>
    <col min="3" max="3" width="16.140625" style="151" customWidth="1"/>
    <col min="4" max="4" width="16.7109375" style="151" customWidth="1"/>
    <col min="5" max="5" width="16.140625" style="151" customWidth="1"/>
    <col min="6" max="6" width="16" style="151" customWidth="1"/>
    <col min="7" max="7" width="16.42578125" style="32" customWidth="1"/>
    <col min="8" max="16384" width="9.140625" style="32"/>
  </cols>
  <sheetData>
    <row r="1" spans="1:7" ht="27.75" customHeight="1">
      <c r="A1" s="282" t="s">
        <v>103</v>
      </c>
      <c r="B1" s="282"/>
      <c r="C1" s="282"/>
      <c r="D1" s="282"/>
      <c r="E1" s="282"/>
      <c r="F1" s="282"/>
    </row>
    <row r="2" spans="1:7" ht="19.5" customHeight="1">
      <c r="A2" s="86"/>
      <c r="B2" s="149"/>
      <c r="C2" s="86"/>
      <c r="D2" s="86"/>
      <c r="E2" s="86"/>
      <c r="F2" s="149"/>
      <c r="G2" s="152" t="s">
        <v>65</v>
      </c>
    </row>
    <row r="3" spans="1:7" ht="64.5" customHeight="1">
      <c r="A3" s="87" t="s">
        <v>24</v>
      </c>
      <c r="B3" s="88" t="s">
        <v>5</v>
      </c>
      <c r="C3" s="68" t="s">
        <v>137</v>
      </c>
      <c r="D3" s="88" t="s">
        <v>138</v>
      </c>
      <c r="E3" s="88" t="s">
        <v>139</v>
      </c>
      <c r="F3" s="153" t="s">
        <v>116</v>
      </c>
      <c r="G3" s="154" t="s">
        <v>117</v>
      </c>
    </row>
    <row r="4" spans="1:7" ht="18" customHeight="1">
      <c r="A4" s="67">
        <v>1</v>
      </c>
      <c r="B4" s="68">
        <v>2</v>
      </c>
      <c r="C4" s="68">
        <v>3</v>
      </c>
      <c r="D4" s="68">
        <v>4</v>
      </c>
      <c r="E4" s="68">
        <v>5</v>
      </c>
      <c r="F4" s="68">
        <v>6</v>
      </c>
      <c r="G4" s="67">
        <v>7</v>
      </c>
    </row>
    <row r="5" spans="1:7" ht="37.5" customHeight="1">
      <c r="A5" s="97" t="s">
        <v>14</v>
      </c>
      <c r="B5" s="89">
        <v>4000</v>
      </c>
      <c r="C5" s="29">
        <f>C6+C55+C134</f>
        <v>8338</v>
      </c>
      <c r="D5" s="29">
        <f>D6+D55+D134</f>
        <v>0</v>
      </c>
      <c r="E5" s="29">
        <f>E6+E55+E134</f>
        <v>975.6</v>
      </c>
      <c r="F5" s="29">
        <f>E5-D5</f>
        <v>975.6</v>
      </c>
      <c r="G5" s="155"/>
    </row>
    <row r="6" spans="1:7" ht="27.75" customHeight="1">
      <c r="A6" s="92" t="s">
        <v>0</v>
      </c>
      <c r="B6" s="65">
        <v>4020</v>
      </c>
      <c r="C6" s="33">
        <f>SUM(C7:C38)</f>
        <v>5647.7000000000007</v>
      </c>
      <c r="D6" s="33">
        <f>SUM(D7:D38)</f>
        <v>0</v>
      </c>
      <c r="E6" s="33">
        <f>SUM(E7:E54)</f>
        <v>767.80000000000007</v>
      </c>
      <c r="F6" s="156">
        <f>E6-D6</f>
        <v>767.80000000000007</v>
      </c>
      <c r="G6" s="155"/>
    </row>
    <row r="7" spans="1:7" ht="37.5" customHeight="1">
      <c r="A7" s="62" t="s">
        <v>231</v>
      </c>
      <c r="B7" s="65"/>
      <c r="C7" s="33">
        <v>209.6</v>
      </c>
      <c r="D7" s="33"/>
      <c r="E7" s="33"/>
      <c r="F7" s="156"/>
      <c r="G7" s="155"/>
    </row>
    <row r="8" spans="1:7" ht="41.25" customHeight="1">
      <c r="A8" s="62" t="s">
        <v>232</v>
      </c>
      <c r="B8" s="65"/>
      <c r="C8" s="30">
        <f>429.4+429.5</f>
        <v>858.9</v>
      </c>
      <c r="D8" s="33"/>
      <c r="E8" s="33"/>
      <c r="F8" s="156"/>
      <c r="G8" s="155"/>
    </row>
    <row r="9" spans="1:7" ht="36.75" customHeight="1">
      <c r="A9" s="62" t="s">
        <v>233</v>
      </c>
      <c r="B9" s="65"/>
      <c r="C9" s="33">
        <v>18.2</v>
      </c>
      <c r="D9" s="33"/>
      <c r="E9" s="33"/>
      <c r="F9" s="156"/>
      <c r="G9" s="155"/>
    </row>
    <row r="10" spans="1:7" ht="37.5" customHeight="1">
      <c r="A10" s="157" t="s">
        <v>234</v>
      </c>
      <c r="B10" s="65"/>
      <c r="C10" s="30">
        <v>18</v>
      </c>
      <c r="D10" s="33"/>
      <c r="E10" s="33"/>
      <c r="F10" s="156"/>
      <c r="G10" s="155"/>
    </row>
    <row r="11" spans="1:7" ht="27.75" customHeight="1">
      <c r="A11" s="157" t="s">
        <v>235</v>
      </c>
      <c r="B11" s="65"/>
      <c r="C11" s="30">
        <v>8.4</v>
      </c>
      <c r="D11" s="33"/>
      <c r="E11" s="33"/>
      <c r="F11" s="156"/>
      <c r="G11" s="155"/>
    </row>
    <row r="12" spans="1:7" ht="27.75" customHeight="1">
      <c r="A12" s="157" t="s">
        <v>236</v>
      </c>
      <c r="B12" s="65"/>
      <c r="C12" s="30">
        <v>10.6</v>
      </c>
      <c r="D12" s="33"/>
      <c r="E12" s="33"/>
      <c r="F12" s="156"/>
      <c r="G12" s="155"/>
    </row>
    <row r="13" spans="1:7" ht="27.75" customHeight="1">
      <c r="A13" s="157" t="s">
        <v>237</v>
      </c>
      <c r="B13" s="65"/>
      <c r="C13" s="30">
        <v>15.8</v>
      </c>
      <c r="D13" s="33"/>
      <c r="E13" s="33"/>
      <c r="F13" s="156"/>
      <c r="G13" s="155"/>
    </row>
    <row r="14" spans="1:7" ht="35.25" customHeight="1">
      <c r="A14" s="157" t="s">
        <v>238</v>
      </c>
      <c r="B14" s="65"/>
      <c r="C14" s="93">
        <v>38.799999999999997</v>
      </c>
      <c r="D14" s="33"/>
      <c r="E14" s="33"/>
      <c r="F14" s="156"/>
      <c r="G14" s="155"/>
    </row>
    <row r="15" spans="1:7" ht="35.25" customHeight="1">
      <c r="A15" s="157" t="s">
        <v>238</v>
      </c>
      <c r="B15" s="65"/>
      <c r="C15" s="93">
        <v>36.4</v>
      </c>
      <c r="D15" s="33"/>
      <c r="E15" s="33"/>
      <c r="F15" s="156"/>
      <c r="G15" s="155"/>
    </row>
    <row r="16" spans="1:7" ht="35.25" customHeight="1">
      <c r="A16" s="157" t="s">
        <v>239</v>
      </c>
      <c r="B16" s="65"/>
      <c r="C16" s="30">
        <v>72.8</v>
      </c>
      <c r="D16" s="33"/>
      <c r="E16" s="33"/>
      <c r="F16" s="156"/>
      <c r="G16" s="155"/>
    </row>
    <row r="17" spans="1:7" ht="36.75" customHeight="1">
      <c r="A17" s="157" t="s">
        <v>240</v>
      </c>
      <c r="B17" s="65"/>
      <c r="C17" s="30">
        <v>49</v>
      </c>
      <c r="D17" s="33"/>
      <c r="E17" s="33"/>
      <c r="F17" s="156"/>
      <c r="G17" s="155"/>
    </row>
    <row r="18" spans="1:7" ht="27.75" customHeight="1">
      <c r="A18" s="157" t="s">
        <v>241</v>
      </c>
      <c r="B18" s="65"/>
      <c r="C18" s="30">
        <v>40.799999999999997</v>
      </c>
      <c r="D18" s="33"/>
      <c r="E18" s="33"/>
      <c r="F18" s="156"/>
      <c r="G18" s="155"/>
    </row>
    <row r="19" spans="1:7" ht="27.75" customHeight="1">
      <c r="A19" s="157" t="s">
        <v>242</v>
      </c>
      <c r="B19" s="65"/>
      <c r="C19" s="30">
        <v>604.70000000000005</v>
      </c>
      <c r="D19" s="33"/>
      <c r="E19" s="33"/>
      <c r="F19" s="156"/>
      <c r="G19" s="155"/>
    </row>
    <row r="20" spans="1:7" ht="27.75" customHeight="1">
      <c r="A20" s="60" t="s">
        <v>243</v>
      </c>
      <c r="B20" s="65"/>
      <c r="C20" s="30">
        <v>189.9</v>
      </c>
      <c r="D20" s="33"/>
      <c r="E20" s="33"/>
      <c r="F20" s="156"/>
      <c r="G20" s="155"/>
    </row>
    <row r="21" spans="1:7" ht="27.75" customHeight="1">
      <c r="A21" s="157" t="s">
        <v>244</v>
      </c>
      <c r="B21" s="65"/>
      <c r="C21" s="30">
        <v>175.7</v>
      </c>
      <c r="D21" s="33"/>
      <c r="E21" s="33"/>
      <c r="F21" s="156"/>
      <c r="G21" s="155"/>
    </row>
    <row r="22" spans="1:7" ht="27.75" customHeight="1">
      <c r="A22" s="157" t="s">
        <v>245</v>
      </c>
      <c r="B22" s="65"/>
      <c r="C22" s="30">
        <f>80.8+80.9</f>
        <v>161.69999999999999</v>
      </c>
      <c r="D22" s="33"/>
      <c r="E22" s="33"/>
      <c r="F22" s="156"/>
      <c r="G22" s="155"/>
    </row>
    <row r="23" spans="1:7" ht="27.75" customHeight="1">
      <c r="A23" s="60" t="s">
        <v>246</v>
      </c>
      <c r="B23" s="65"/>
      <c r="C23" s="30">
        <v>67.900000000000006</v>
      </c>
      <c r="D23" s="33"/>
      <c r="E23" s="33"/>
      <c r="F23" s="156"/>
      <c r="G23" s="155"/>
    </row>
    <row r="24" spans="1:7" ht="27.75" customHeight="1">
      <c r="A24" s="60" t="s">
        <v>247</v>
      </c>
      <c r="B24" s="65"/>
      <c r="C24" s="30">
        <v>59.9</v>
      </c>
      <c r="D24" s="33"/>
      <c r="E24" s="33"/>
      <c r="F24" s="156"/>
      <c r="G24" s="155"/>
    </row>
    <row r="25" spans="1:7" ht="42.75" customHeight="1">
      <c r="A25" s="60" t="s">
        <v>248</v>
      </c>
      <c r="B25" s="65"/>
      <c r="C25" s="30">
        <f>118.4+126.6</f>
        <v>245</v>
      </c>
      <c r="D25" s="33"/>
      <c r="E25" s="33"/>
      <c r="F25" s="156"/>
      <c r="G25" s="155"/>
    </row>
    <row r="26" spans="1:7" ht="27.75" customHeight="1">
      <c r="A26" s="60" t="s">
        <v>249</v>
      </c>
      <c r="B26" s="65"/>
      <c r="C26" s="30">
        <v>1348.6</v>
      </c>
      <c r="D26" s="33"/>
      <c r="E26" s="33"/>
      <c r="F26" s="156"/>
      <c r="G26" s="155"/>
    </row>
    <row r="27" spans="1:7" ht="27.75" customHeight="1">
      <c r="A27" s="60" t="s">
        <v>250</v>
      </c>
      <c r="B27" s="65"/>
      <c r="C27" s="93">
        <v>20.6</v>
      </c>
      <c r="D27" s="33"/>
      <c r="E27" s="33"/>
      <c r="F27" s="156"/>
      <c r="G27" s="155"/>
    </row>
    <row r="28" spans="1:7" ht="27.75" customHeight="1">
      <c r="A28" s="60" t="s">
        <v>251</v>
      </c>
      <c r="B28" s="65"/>
      <c r="C28" s="93">
        <v>8.3000000000000007</v>
      </c>
      <c r="D28" s="33"/>
      <c r="E28" s="33"/>
      <c r="F28" s="156"/>
      <c r="G28" s="155"/>
    </row>
    <row r="29" spans="1:7" ht="27.75" customHeight="1">
      <c r="A29" s="157" t="s">
        <v>252</v>
      </c>
      <c r="B29" s="65"/>
      <c r="C29" s="30">
        <v>173</v>
      </c>
      <c r="D29" s="33"/>
      <c r="E29" s="33"/>
      <c r="F29" s="156"/>
      <c r="G29" s="155"/>
    </row>
    <row r="30" spans="1:7" ht="27.75" customHeight="1">
      <c r="A30" s="157" t="s">
        <v>253</v>
      </c>
      <c r="B30" s="65"/>
      <c r="C30" s="30">
        <v>36</v>
      </c>
      <c r="D30" s="33"/>
      <c r="E30" s="33"/>
      <c r="F30" s="156"/>
      <c r="G30" s="155"/>
    </row>
    <row r="31" spans="1:7" ht="27.75" customHeight="1">
      <c r="A31" s="157" t="s">
        <v>254</v>
      </c>
      <c r="B31" s="65"/>
      <c r="C31" s="30">
        <v>96</v>
      </c>
      <c r="D31" s="33"/>
      <c r="E31" s="33"/>
      <c r="F31" s="156"/>
      <c r="G31" s="155"/>
    </row>
    <row r="32" spans="1:7" ht="27.75" customHeight="1">
      <c r="A32" s="157" t="s">
        <v>255</v>
      </c>
      <c r="B32" s="65"/>
      <c r="C32" s="30">
        <v>74.599999999999994</v>
      </c>
      <c r="D32" s="33"/>
      <c r="E32" s="33"/>
      <c r="F32" s="156"/>
      <c r="G32" s="155"/>
    </row>
    <row r="33" spans="1:7" ht="27.75" customHeight="1">
      <c r="A33" s="157" t="s">
        <v>256</v>
      </c>
      <c r="B33" s="65"/>
      <c r="C33" s="30">
        <v>284</v>
      </c>
      <c r="D33" s="33"/>
      <c r="E33" s="33"/>
      <c r="F33" s="156"/>
      <c r="G33" s="155"/>
    </row>
    <row r="34" spans="1:7" ht="27.75" customHeight="1">
      <c r="A34" s="157" t="s">
        <v>257</v>
      </c>
      <c r="B34" s="65"/>
      <c r="C34" s="30">
        <v>7.5</v>
      </c>
      <c r="D34" s="33"/>
      <c r="E34" s="33"/>
      <c r="F34" s="156"/>
      <c r="G34" s="155"/>
    </row>
    <row r="35" spans="1:7" ht="27.75" customHeight="1">
      <c r="A35" s="157" t="s">
        <v>258</v>
      </c>
      <c r="B35" s="65"/>
      <c r="C35" s="30">
        <v>11.8</v>
      </c>
      <c r="D35" s="33"/>
      <c r="E35" s="33"/>
      <c r="F35" s="156"/>
      <c r="G35" s="155"/>
    </row>
    <row r="36" spans="1:7" ht="39" customHeight="1">
      <c r="A36" s="157" t="s">
        <v>259</v>
      </c>
      <c r="B36" s="65"/>
      <c r="C36" s="30">
        <v>647</v>
      </c>
      <c r="D36" s="33"/>
      <c r="E36" s="33"/>
      <c r="F36" s="156"/>
      <c r="G36" s="155"/>
    </row>
    <row r="37" spans="1:7" ht="27.75" customHeight="1">
      <c r="A37" s="157" t="s">
        <v>260</v>
      </c>
      <c r="B37" s="65"/>
      <c r="C37" s="30">
        <v>39.5</v>
      </c>
      <c r="D37" s="33"/>
      <c r="E37" s="33"/>
      <c r="F37" s="156"/>
      <c r="G37" s="155"/>
    </row>
    <row r="38" spans="1:7" ht="27" customHeight="1">
      <c r="A38" s="157" t="s">
        <v>261</v>
      </c>
      <c r="B38" s="68"/>
      <c r="C38" s="30">
        <v>18.7</v>
      </c>
      <c r="D38" s="30"/>
      <c r="E38" s="30"/>
      <c r="F38" s="30">
        <f>E38-D38</f>
        <v>0</v>
      </c>
      <c r="G38" s="158"/>
    </row>
    <row r="39" spans="1:7" ht="27" customHeight="1">
      <c r="A39" s="159" t="s">
        <v>300</v>
      </c>
      <c r="B39" s="68"/>
      <c r="C39" s="30"/>
      <c r="D39" s="30"/>
      <c r="E39" s="30">
        <v>103.7</v>
      </c>
      <c r="F39" s="30"/>
      <c r="G39" s="158"/>
    </row>
    <row r="40" spans="1:7" ht="38.25" customHeight="1">
      <c r="A40" s="70" t="s">
        <v>301</v>
      </c>
      <c r="B40" s="68"/>
      <c r="C40" s="30"/>
      <c r="D40" s="30"/>
      <c r="E40" s="30">
        <v>64.400000000000006</v>
      </c>
      <c r="F40" s="30"/>
      <c r="G40" s="158"/>
    </row>
    <row r="41" spans="1:7" ht="27" customHeight="1">
      <c r="A41" s="70" t="s">
        <v>302</v>
      </c>
      <c r="B41" s="68"/>
      <c r="C41" s="30"/>
      <c r="D41" s="30"/>
      <c r="E41" s="30">
        <v>22</v>
      </c>
      <c r="F41" s="30"/>
      <c r="G41" s="158"/>
    </row>
    <row r="42" spans="1:7" ht="27" customHeight="1">
      <c r="A42" s="70" t="s">
        <v>303</v>
      </c>
      <c r="B42" s="68"/>
      <c r="C42" s="30"/>
      <c r="D42" s="30"/>
      <c r="E42" s="30">
        <v>6.4</v>
      </c>
      <c r="F42" s="30"/>
      <c r="G42" s="158"/>
    </row>
    <row r="43" spans="1:7" ht="27" customHeight="1">
      <c r="A43" s="70" t="s">
        <v>304</v>
      </c>
      <c r="B43" s="68"/>
      <c r="C43" s="30"/>
      <c r="D43" s="30"/>
      <c r="E43" s="30">
        <v>7.2</v>
      </c>
      <c r="F43" s="30"/>
      <c r="G43" s="158"/>
    </row>
    <row r="44" spans="1:7" ht="27" customHeight="1">
      <c r="A44" s="70" t="s">
        <v>305</v>
      </c>
      <c r="B44" s="68"/>
      <c r="C44" s="30"/>
      <c r="D44" s="30"/>
      <c r="E44" s="30">
        <v>8.1</v>
      </c>
      <c r="F44" s="30"/>
      <c r="G44" s="158"/>
    </row>
    <row r="45" spans="1:7" ht="27" customHeight="1">
      <c r="A45" s="70" t="s">
        <v>306</v>
      </c>
      <c r="B45" s="68"/>
      <c r="C45" s="30"/>
      <c r="D45" s="30"/>
      <c r="E45" s="30">
        <v>78.7</v>
      </c>
      <c r="F45" s="30"/>
      <c r="G45" s="158"/>
    </row>
    <row r="46" spans="1:7" ht="36.75" customHeight="1">
      <c r="A46" s="70" t="s">
        <v>307</v>
      </c>
      <c r="B46" s="68"/>
      <c r="C46" s="30"/>
      <c r="D46" s="30"/>
      <c r="E46" s="30">
        <v>16.600000000000001</v>
      </c>
      <c r="F46" s="30"/>
      <c r="G46" s="158"/>
    </row>
    <row r="47" spans="1:7" ht="27" customHeight="1">
      <c r="A47" s="70" t="s">
        <v>308</v>
      </c>
      <c r="B47" s="68"/>
      <c r="C47" s="30"/>
      <c r="D47" s="30"/>
      <c r="E47" s="30">
        <v>6</v>
      </c>
      <c r="F47" s="30"/>
      <c r="G47" s="158"/>
    </row>
    <row r="48" spans="1:7" ht="27" customHeight="1">
      <c r="A48" s="70" t="s">
        <v>309</v>
      </c>
      <c r="B48" s="68"/>
      <c r="C48" s="30"/>
      <c r="D48" s="30"/>
      <c r="E48" s="30">
        <v>26.2</v>
      </c>
      <c r="F48" s="30"/>
      <c r="G48" s="158"/>
    </row>
    <row r="49" spans="1:7" ht="27" customHeight="1">
      <c r="A49" s="70" t="s">
        <v>310</v>
      </c>
      <c r="B49" s="68"/>
      <c r="C49" s="30"/>
      <c r="D49" s="30"/>
      <c r="E49" s="30">
        <f>42.8+260</f>
        <v>302.8</v>
      </c>
      <c r="F49" s="30"/>
      <c r="G49" s="158"/>
    </row>
    <row r="50" spans="1:7" ht="42" customHeight="1">
      <c r="A50" s="70" t="s">
        <v>311</v>
      </c>
      <c r="B50" s="68"/>
      <c r="C50" s="30"/>
      <c r="D50" s="30"/>
      <c r="E50" s="30">
        <v>28.2</v>
      </c>
      <c r="F50" s="30"/>
      <c r="G50" s="158"/>
    </row>
    <row r="51" spans="1:7" ht="27" customHeight="1">
      <c r="A51" s="70" t="s">
        <v>312</v>
      </c>
      <c r="B51" s="68"/>
      <c r="C51" s="30"/>
      <c r="D51" s="30"/>
      <c r="E51" s="30">
        <v>17.899999999999999</v>
      </c>
      <c r="F51" s="30"/>
      <c r="G51" s="158"/>
    </row>
    <row r="52" spans="1:7" ht="27" customHeight="1">
      <c r="A52" s="70" t="s">
        <v>313</v>
      </c>
      <c r="B52" s="68"/>
      <c r="C52" s="30"/>
      <c r="D52" s="30"/>
      <c r="E52" s="30">
        <v>7.5</v>
      </c>
      <c r="F52" s="30"/>
      <c r="G52" s="158"/>
    </row>
    <row r="53" spans="1:7" ht="27" customHeight="1">
      <c r="A53" s="70" t="s">
        <v>314</v>
      </c>
      <c r="B53" s="68"/>
      <c r="C53" s="30"/>
      <c r="D53" s="30"/>
      <c r="E53" s="30">
        <v>13.6</v>
      </c>
      <c r="F53" s="30"/>
      <c r="G53" s="158"/>
    </row>
    <row r="54" spans="1:7" ht="27" customHeight="1">
      <c r="A54" s="70" t="s">
        <v>315</v>
      </c>
      <c r="B54" s="68"/>
      <c r="C54" s="30"/>
      <c r="D54" s="30"/>
      <c r="E54" s="30">
        <v>58.5</v>
      </c>
      <c r="F54" s="30"/>
      <c r="G54" s="158"/>
    </row>
    <row r="55" spans="1:7" s="101" customFormat="1" ht="38.25" customHeight="1">
      <c r="A55" s="92" t="s">
        <v>7</v>
      </c>
      <c r="B55" s="160">
        <v>4030</v>
      </c>
      <c r="C55" s="33">
        <f>SUM(C56:C90)</f>
        <v>730.5999999999998</v>
      </c>
      <c r="D55" s="33">
        <f>SUM(D56:D90)</f>
        <v>0</v>
      </c>
      <c r="E55" s="33">
        <f>SUM(E56:E133)</f>
        <v>207.79999999999995</v>
      </c>
      <c r="F55" s="33">
        <f>E55-D55</f>
        <v>207.79999999999995</v>
      </c>
      <c r="G55" s="158"/>
    </row>
    <row r="56" spans="1:7" s="101" customFormat="1" ht="75" customHeight="1">
      <c r="A56" s="62" t="s">
        <v>262</v>
      </c>
      <c r="B56" s="160"/>
      <c r="C56" s="33">
        <v>258.89999999999998</v>
      </c>
      <c r="D56" s="33"/>
      <c r="E56" s="33"/>
      <c r="F56" s="156"/>
      <c r="G56" s="155"/>
    </row>
    <row r="57" spans="1:7" s="101" customFormat="1" ht="38.25" customHeight="1">
      <c r="A57" s="60" t="s">
        <v>263</v>
      </c>
      <c r="B57" s="160"/>
      <c r="C57" s="30">
        <v>2</v>
      </c>
      <c r="D57" s="33"/>
      <c r="E57" s="33"/>
      <c r="F57" s="156"/>
      <c r="G57" s="155"/>
    </row>
    <row r="58" spans="1:7" s="101" customFormat="1" ht="38.25" customHeight="1">
      <c r="A58" s="60" t="s">
        <v>264</v>
      </c>
      <c r="B58" s="160"/>
      <c r="C58" s="30">
        <v>1.5</v>
      </c>
      <c r="D58" s="33"/>
      <c r="E58" s="33"/>
      <c r="F58" s="156"/>
      <c r="G58" s="155"/>
    </row>
    <row r="59" spans="1:7" s="101" customFormat="1" ht="38.25" customHeight="1">
      <c r="A59" s="60" t="s">
        <v>265</v>
      </c>
      <c r="B59" s="160"/>
      <c r="C59" s="30">
        <v>4.5</v>
      </c>
      <c r="D59" s="33"/>
      <c r="E59" s="33"/>
      <c r="F59" s="156"/>
      <c r="G59" s="155"/>
    </row>
    <row r="60" spans="1:7" s="101" customFormat="1" ht="38.25" customHeight="1">
      <c r="A60" s="60" t="s">
        <v>266</v>
      </c>
      <c r="B60" s="160"/>
      <c r="C60" s="30">
        <v>6.6</v>
      </c>
      <c r="D60" s="33"/>
      <c r="E60" s="33"/>
      <c r="F60" s="156"/>
      <c r="G60" s="155"/>
    </row>
    <row r="61" spans="1:7" s="101" customFormat="1" ht="38.25" customHeight="1">
      <c r="A61" s="60" t="s">
        <v>267</v>
      </c>
      <c r="B61" s="160"/>
      <c r="C61" s="30">
        <v>4.4000000000000004</v>
      </c>
      <c r="D61" s="33"/>
      <c r="E61" s="33"/>
      <c r="F61" s="156"/>
      <c r="G61" s="155"/>
    </row>
    <row r="62" spans="1:7" s="101" customFormat="1" ht="38.25" customHeight="1">
      <c r="A62" s="60" t="s">
        <v>268</v>
      </c>
      <c r="B62" s="160"/>
      <c r="C62" s="30">
        <v>4.2</v>
      </c>
      <c r="D62" s="33"/>
      <c r="E62" s="33"/>
      <c r="F62" s="156"/>
      <c r="G62" s="155"/>
    </row>
    <row r="63" spans="1:7" s="101" customFormat="1" ht="38.25" customHeight="1">
      <c r="A63" s="60" t="s">
        <v>269</v>
      </c>
      <c r="B63" s="160"/>
      <c r="C63" s="30">
        <v>12.4</v>
      </c>
      <c r="D63" s="33"/>
      <c r="E63" s="33"/>
      <c r="F63" s="156"/>
      <c r="G63" s="155"/>
    </row>
    <row r="64" spans="1:7" s="101" customFormat="1" ht="38.25" customHeight="1">
      <c r="A64" s="60" t="s">
        <v>270</v>
      </c>
      <c r="B64" s="160"/>
      <c r="C64" s="30">
        <v>2</v>
      </c>
      <c r="D64" s="33"/>
      <c r="E64" s="33"/>
      <c r="F64" s="156"/>
      <c r="G64" s="155"/>
    </row>
    <row r="65" spans="1:7" s="101" customFormat="1" ht="38.25" customHeight="1">
      <c r="A65" s="60" t="s">
        <v>271</v>
      </c>
      <c r="B65" s="160"/>
      <c r="C65" s="30">
        <v>37.299999999999997</v>
      </c>
      <c r="D65" s="33"/>
      <c r="E65" s="33"/>
      <c r="F65" s="156"/>
      <c r="G65" s="155"/>
    </row>
    <row r="66" spans="1:7" s="101" customFormat="1" ht="38.25" customHeight="1">
      <c r="A66" s="60" t="s">
        <v>272</v>
      </c>
      <c r="B66" s="160"/>
      <c r="C66" s="30">
        <v>7.6</v>
      </c>
      <c r="D66" s="33"/>
      <c r="E66" s="33"/>
      <c r="F66" s="156"/>
      <c r="G66" s="155"/>
    </row>
    <row r="67" spans="1:7" s="101" customFormat="1" ht="38.25" customHeight="1">
      <c r="A67" s="60" t="s">
        <v>273</v>
      </c>
      <c r="B67" s="160"/>
      <c r="C67" s="30">
        <v>1.1000000000000001</v>
      </c>
      <c r="D67" s="33"/>
      <c r="E67" s="33"/>
      <c r="F67" s="156"/>
      <c r="G67" s="155"/>
    </row>
    <row r="68" spans="1:7" s="101" customFormat="1" ht="38.25" customHeight="1">
      <c r="A68" s="60" t="s">
        <v>274</v>
      </c>
      <c r="B68" s="160"/>
      <c r="C68" s="30">
        <v>0.6</v>
      </c>
      <c r="D68" s="33"/>
      <c r="E68" s="33"/>
      <c r="F68" s="156"/>
      <c r="G68" s="155"/>
    </row>
    <row r="69" spans="1:7" s="101" customFormat="1" ht="38.25" customHeight="1">
      <c r="A69" s="60" t="s">
        <v>275</v>
      </c>
      <c r="B69" s="160"/>
      <c r="C69" s="93">
        <v>1.4</v>
      </c>
      <c r="D69" s="33"/>
      <c r="E69" s="33"/>
      <c r="F69" s="156"/>
      <c r="G69" s="155"/>
    </row>
    <row r="70" spans="1:7" s="101" customFormat="1" ht="38.25" customHeight="1">
      <c r="A70" s="60" t="s">
        <v>276</v>
      </c>
      <c r="B70" s="160"/>
      <c r="C70" s="93">
        <v>4.2</v>
      </c>
      <c r="D70" s="33"/>
      <c r="E70" s="33"/>
      <c r="F70" s="156"/>
      <c r="G70" s="155"/>
    </row>
    <row r="71" spans="1:7" s="101" customFormat="1" ht="38.25" customHeight="1">
      <c r="A71" s="60" t="s">
        <v>277</v>
      </c>
      <c r="B71" s="160"/>
      <c r="C71" s="93">
        <v>5</v>
      </c>
      <c r="D71" s="33"/>
      <c r="E71" s="33"/>
      <c r="F71" s="156"/>
      <c r="G71" s="155"/>
    </row>
    <row r="72" spans="1:7" s="101" customFormat="1" ht="38.25" customHeight="1">
      <c r="A72" s="60" t="s">
        <v>278</v>
      </c>
      <c r="B72" s="160"/>
      <c r="C72" s="93">
        <v>0.5</v>
      </c>
      <c r="D72" s="33"/>
      <c r="E72" s="33"/>
      <c r="F72" s="156"/>
      <c r="G72" s="155"/>
    </row>
    <row r="73" spans="1:7" s="101" customFormat="1" ht="38.25" customHeight="1">
      <c r="A73" s="60" t="s">
        <v>279</v>
      </c>
      <c r="B73" s="160"/>
      <c r="C73" s="30">
        <v>15.5</v>
      </c>
      <c r="D73" s="33"/>
      <c r="E73" s="33"/>
      <c r="F73" s="156"/>
      <c r="G73" s="155"/>
    </row>
    <row r="74" spans="1:7" s="101" customFormat="1" ht="38.25" customHeight="1">
      <c r="A74" s="60" t="s">
        <v>280</v>
      </c>
      <c r="B74" s="160"/>
      <c r="C74" s="30">
        <v>7.9</v>
      </c>
      <c r="D74" s="33"/>
      <c r="E74" s="33"/>
      <c r="F74" s="156"/>
      <c r="G74" s="155"/>
    </row>
    <row r="75" spans="1:7" s="101" customFormat="1" ht="38.25" customHeight="1">
      <c r="A75" s="60" t="s">
        <v>281</v>
      </c>
      <c r="B75" s="160"/>
      <c r="C75" s="30">
        <v>1.1000000000000001</v>
      </c>
      <c r="D75" s="33"/>
      <c r="E75" s="33"/>
      <c r="F75" s="156"/>
      <c r="G75" s="155"/>
    </row>
    <row r="76" spans="1:7" s="101" customFormat="1" ht="38.25" customHeight="1">
      <c r="A76" s="60" t="s">
        <v>282</v>
      </c>
      <c r="B76" s="160"/>
      <c r="C76" s="30">
        <v>5</v>
      </c>
      <c r="D76" s="33"/>
      <c r="E76" s="33"/>
      <c r="F76" s="156"/>
      <c r="G76" s="155"/>
    </row>
    <row r="77" spans="1:7" s="101" customFormat="1" ht="38.25" customHeight="1">
      <c r="A77" s="60" t="s">
        <v>283</v>
      </c>
      <c r="B77" s="160"/>
      <c r="C77" s="30">
        <v>49.9</v>
      </c>
      <c r="D77" s="33"/>
      <c r="E77" s="33"/>
      <c r="F77" s="156"/>
      <c r="G77" s="155"/>
    </row>
    <row r="78" spans="1:7" s="101" customFormat="1" ht="38.25" customHeight="1">
      <c r="A78" s="60" t="s">
        <v>284</v>
      </c>
      <c r="B78" s="160"/>
      <c r="C78" s="93">
        <v>61</v>
      </c>
      <c r="D78" s="33"/>
      <c r="E78" s="33"/>
      <c r="F78" s="156"/>
      <c r="G78" s="155"/>
    </row>
    <row r="79" spans="1:7" s="101" customFormat="1" ht="38.25" customHeight="1">
      <c r="A79" s="60" t="s">
        <v>285</v>
      </c>
      <c r="B79" s="160"/>
      <c r="C79" s="93">
        <v>84</v>
      </c>
      <c r="D79" s="33"/>
      <c r="E79" s="33"/>
      <c r="F79" s="156"/>
      <c r="G79" s="155"/>
    </row>
    <row r="80" spans="1:7" s="101" customFormat="1" ht="38.25" customHeight="1">
      <c r="A80" s="60" t="s">
        <v>286</v>
      </c>
      <c r="B80" s="160"/>
      <c r="C80" s="93">
        <v>75</v>
      </c>
      <c r="D80" s="33"/>
      <c r="E80" s="33"/>
      <c r="F80" s="156"/>
      <c r="G80" s="155"/>
    </row>
    <row r="81" spans="1:7" s="101" customFormat="1" ht="38.25" customHeight="1">
      <c r="A81" s="60" t="s">
        <v>287</v>
      </c>
      <c r="B81" s="160"/>
      <c r="C81" s="93">
        <v>2.2999999999999998</v>
      </c>
      <c r="D81" s="33"/>
      <c r="E81" s="33"/>
      <c r="F81" s="156"/>
      <c r="G81" s="155"/>
    </row>
    <row r="82" spans="1:7" s="101" customFormat="1" ht="38.25" customHeight="1">
      <c r="A82" s="60" t="s">
        <v>288</v>
      </c>
      <c r="B82" s="160"/>
      <c r="C82" s="93">
        <v>22.8</v>
      </c>
      <c r="D82" s="33"/>
      <c r="E82" s="33"/>
      <c r="F82" s="156"/>
      <c r="G82" s="155"/>
    </row>
    <row r="83" spans="1:7" s="101" customFormat="1" ht="38.25" customHeight="1">
      <c r="A83" s="60" t="s">
        <v>289</v>
      </c>
      <c r="B83" s="160"/>
      <c r="C83" s="93">
        <v>21.5</v>
      </c>
      <c r="D83" s="33"/>
      <c r="E83" s="33"/>
      <c r="F83" s="156"/>
      <c r="G83" s="155"/>
    </row>
    <row r="84" spans="1:7" s="101" customFormat="1" ht="38.25" customHeight="1">
      <c r="A84" s="60" t="s">
        <v>290</v>
      </c>
      <c r="B84" s="160"/>
      <c r="C84" s="93">
        <v>2</v>
      </c>
      <c r="D84" s="33"/>
      <c r="E84" s="33"/>
      <c r="F84" s="156"/>
      <c r="G84" s="155"/>
    </row>
    <row r="85" spans="1:7" s="101" customFormat="1" ht="38.25" customHeight="1">
      <c r="A85" s="60" t="s">
        <v>291</v>
      </c>
      <c r="B85" s="160"/>
      <c r="C85" s="30">
        <v>1.4</v>
      </c>
      <c r="D85" s="33"/>
      <c r="E85" s="33"/>
      <c r="F85" s="156"/>
      <c r="G85" s="155"/>
    </row>
    <row r="86" spans="1:7" s="101" customFormat="1" ht="38.25" customHeight="1">
      <c r="A86" s="60" t="s">
        <v>292</v>
      </c>
      <c r="B86" s="160"/>
      <c r="C86" s="30">
        <v>2.4</v>
      </c>
      <c r="D86" s="33"/>
      <c r="E86" s="33"/>
      <c r="F86" s="156"/>
      <c r="G86" s="155"/>
    </row>
    <row r="87" spans="1:7" s="101" customFormat="1" ht="38.25" customHeight="1">
      <c r="A87" s="60" t="s">
        <v>293</v>
      </c>
      <c r="B87" s="160"/>
      <c r="C87" s="30">
        <v>4.5</v>
      </c>
      <c r="D87" s="33"/>
      <c r="E87" s="33"/>
      <c r="F87" s="156"/>
      <c r="G87" s="155"/>
    </row>
    <row r="88" spans="1:7" s="101" customFormat="1" ht="38.25" customHeight="1">
      <c r="A88" s="60" t="s">
        <v>294</v>
      </c>
      <c r="B88" s="160"/>
      <c r="C88" s="30">
        <v>5.2</v>
      </c>
      <c r="D88" s="33"/>
      <c r="E88" s="33"/>
      <c r="F88" s="156"/>
      <c r="G88" s="155"/>
    </row>
    <row r="89" spans="1:7" s="101" customFormat="1" ht="38.25" customHeight="1">
      <c r="A89" s="60" t="s">
        <v>295</v>
      </c>
      <c r="B89" s="160"/>
      <c r="C89" s="30">
        <v>12</v>
      </c>
      <c r="D89" s="33"/>
      <c r="E89" s="33"/>
      <c r="F89" s="156"/>
      <c r="G89" s="155"/>
    </row>
    <row r="90" spans="1:7" s="101" customFormat="1" ht="38.25" customHeight="1">
      <c r="A90" s="60" t="s">
        <v>296</v>
      </c>
      <c r="B90" s="160"/>
      <c r="C90" s="30">
        <v>2.9</v>
      </c>
      <c r="D90" s="33"/>
      <c r="E90" s="33"/>
      <c r="F90" s="156"/>
      <c r="G90" s="155"/>
    </row>
    <row r="91" spans="1:7" s="101" customFormat="1" ht="38.25" customHeight="1">
      <c r="A91" s="70" t="s">
        <v>316</v>
      </c>
      <c r="B91" s="160"/>
      <c r="C91" s="30"/>
      <c r="D91" s="33"/>
      <c r="E91" s="30">
        <v>5.8</v>
      </c>
      <c r="F91" s="156"/>
      <c r="G91" s="155"/>
    </row>
    <row r="92" spans="1:7" s="101" customFormat="1" ht="38.25" customHeight="1">
      <c r="A92" s="70" t="s">
        <v>317</v>
      </c>
      <c r="B92" s="160"/>
      <c r="C92" s="30"/>
      <c r="D92" s="33"/>
      <c r="E92" s="30">
        <v>0.4</v>
      </c>
      <c r="F92" s="156"/>
      <c r="G92" s="155"/>
    </row>
    <row r="93" spans="1:7" s="101" customFormat="1" ht="38.25" customHeight="1">
      <c r="A93" s="70" t="s">
        <v>318</v>
      </c>
      <c r="B93" s="160"/>
      <c r="C93" s="30"/>
      <c r="D93" s="33"/>
      <c r="E93" s="30">
        <v>5.2</v>
      </c>
      <c r="F93" s="156"/>
      <c r="G93" s="155"/>
    </row>
    <row r="94" spans="1:7" s="101" customFormat="1" ht="38.25" customHeight="1">
      <c r="A94" s="70" t="s">
        <v>319</v>
      </c>
      <c r="B94" s="160"/>
      <c r="C94" s="30"/>
      <c r="D94" s="33"/>
      <c r="E94" s="30">
        <v>0.7</v>
      </c>
      <c r="F94" s="156"/>
      <c r="G94" s="155"/>
    </row>
    <row r="95" spans="1:7" s="101" customFormat="1" ht="38.25" customHeight="1">
      <c r="A95" s="70" t="s">
        <v>320</v>
      </c>
      <c r="B95" s="160"/>
      <c r="C95" s="30"/>
      <c r="D95" s="33"/>
      <c r="E95" s="30">
        <v>5</v>
      </c>
      <c r="F95" s="156"/>
      <c r="G95" s="155"/>
    </row>
    <row r="96" spans="1:7" s="101" customFormat="1" ht="38.25" customHeight="1">
      <c r="A96" s="70" t="s">
        <v>321</v>
      </c>
      <c r="B96" s="160"/>
      <c r="C96" s="30"/>
      <c r="D96" s="33"/>
      <c r="E96" s="30">
        <v>25.2</v>
      </c>
      <c r="F96" s="156"/>
      <c r="G96" s="155"/>
    </row>
    <row r="97" spans="1:7" s="101" customFormat="1" ht="38.25" customHeight="1">
      <c r="A97" s="70" t="s">
        <v>322</v>
      </c>
      <c r="B97" s="160"/>
      <c r="C97" s="30"/>
      <c r="D97" s="33"/>
      <c r="E97" s="30">
        <v>16.8</v>
      </c>
      <c r="F97" s="156"/>
      <c r="G97" s="155"/>
    </row>
    <row r="98" spans="1:7" s="101" customFormat="1" ht="38.25" customHeight="1">
      <c r="A98" s="70" t="s">
        <v>323</v>
      </c>
      <c r="B98" s="160"/>
      <c r="C98" s="30"/>
      <c r="D98" s="33"/>
      <c r="E98" s="30">
        <v>1.3</v>
      </c>
      <c r="F98" s="156"/>
      <c r="G98" s="155"/>
    </row>
    <row r="99" spans="1:7" s="101" customFormat="1" ht="38.25" customHeight="1">
      <c r="A99" s="70" t="s">
        <v>324</v>
      </c>
      <c r="B99" s="160"/>
      <c r="C99" s="30"/>
      <c r="D99" s="33"/>
      <c r="E99" s="30">
        <v>4.9000000000000004</v>
      </c>
      <c r="F99" s="156"/>
      <c r="G99" s="155"/>
    </row>
    <row r="100" spans="1:7" s="101" customFormat="1" ht="38.25" customHeight="1">
      <c r="A100" s="70" t="s">
        <v>325</v>
      </c>
      <c r="B100" s="160"/>
      <c r="C100" s="30"/>
      <c r="D100" s="33"/>
      <c r="E100" s="30">
        <v>2.2999999999999998</v>
      </c>
      <c r="F100" s="156"/>
      <c r="G100" s="155"/>
    </row>
    <row r="101" spans="1:7" s="101" customFormat="1" ht="38.25" customHeight="1">
      <c r="A101" s="70" t="s">
        <v>326</v>
      </c>
      <c r="B101" s="160"/>
      <c r="C101" s="30"/>
      <c r="D101" s="33"/>
      <c r="E101" s="30">
        <v>0.4</v>
      </c>
      <c r="F101" s="156"/>
      <c r="G101" s="155"/>
    </row>
    <row r="102" spans="1:7" s="101" customFormat="1" ht="38.25" customHeight="1">
      <c r="A102" s="70" t="s">
        <v>327</v>
      </c>
      <c r="B102" s="160"/>
      <c r="C102" s="30"/>
      <c r="D102" s="33"/>
      <c r="E102" s="30">
        <v>2.9</v>
      </c>
      <c r="F102" s="156"/>
      <c r="G102" s="155"/>
    </row>
    <row r="103" spans="1:7" s="101" customFormat="1" ht="38.25" customHeight="1">
      <c r="A103" s="70" t="s">
        <v>328</v>
      </c>
      <c r="B103" s="160"/>
      <c r="C103" s="30"/>
      <c r="D103" s="33"/>
      <c r="E103" s="30">
        <v>4.8</v>
      </c>
      <c r="F103" s="156"/>
      <c r="G103" s="155"/>
    </row>
    <row r="104" spans="1:7" s="101" customFormat="1" ht="38.25" customHeight="1">
      <c r="A104" s="70" t="s">
        <v>329</v>
      </c>
      <c r="B104" s="160"/>
      <c r="C104" s="30"/>
      <c r="D104" s="33"/>
      <c r="E104" s="30">
        <v>6.2</v>
      </c>
      <c r="F104" s="156"/>
      <c r="G104" s="155"/>
    </row>
    <row r="105" spans="1:7" s="101" customFormat="1" ht="38.25" customHeight="1">
      <c r="A105" s="70" t="s">
        <v>330</v>
      </c>
      <c r="B105" s="160"/>
      <c r="C105" s="30"/>
      <c r="D105" s="33"/>
      <c r="E105" s="30">
        <v>1.5</v>
      </c>
      <c r="F105" s="156"/>
      <c r="G105" s="155"/>
    </row>
    <row r="106" spans="1:7" s="101" customFormat="1" ht="38.25" customHeight="1">
      <c r="A106" s="70" t="s">
        <v>331</v>
      </c>
      <c r="B106" s="160"/>
      <c r="C106" s="30"/>
      <c r="D106" s="33"/>
      <c r="E106" s="30">
        <v>9.9</v>
      </c>
      <c r="F106" s="156"/>
      <c r="G106" s="155"/>
    </row>
    <row r="107" spans="1:7" s="101" customFormat="1" ht="38.25" customHeight="1">
      <c r="A107" s="70" t="s">
        <v>332</v>
      </c>
      <c r="B107" s="160"/>
      <c r="C107" s="30"/>
      <c r="D107" s="33"/>
      <c r="E107" s="30">
        <v>4.5</v>
      </c>
      <c r="F107" s="156"/>
      <c r="G107" s="155"/>
    </row>
    <row r="108" spans="1:7" s="101" customFormat="1" ht="38.25" customHeight="1">
      <c r="A108" s="70" t="s">
        <v>333</v>
      </c>
      <c r="B108" s="160"/>
      <c r="C108" s="30"/>
      <c r="D108" s="33"/>
      <c r="E108" s="30">
        <v>3.1</v>
      </c>
      <c r="F108" s="156"/>
      <c r="G108" s="155"/>
    </row>
    <row r="109" spans="1:7" s="101" customFormat="1" ht="38.25" customHeight="1">
      <c r="A109" s="70" t="s">
        <v>334</v>
      </c>
      <c r="B109" s="160"/>
      <c r="C109" s="30"/>
      <c r="D109" s="33"/>
      <c r="E109" s="30">
        <v>1.6</v>
      </c>
      <c r="F109" s="156"/>
      <c r="G109" s="155"/>
    </row>
    <row r="110" spans="1:7" s="101" customFormat="1" ht="38.25" customHeight="1">
      <c r="A110" s="70" t="s">
        <v>335</v>
      </c>
      <c r="B110" s="160"/>
      <c r="C110" s="30"/>
      <c r="D110" s="33"/>
      <c r="E110" s="30">
        <v>4.8</v>
      </c>
      <c r="F110" s="156"/>
      <c r="G110" s="155"/>
    </row>
    <row r="111" spans="1:7" s="101" customFormat="1" ht="38.25" customHeight="1">
      <c r="A111" s="70" t="s">
        <v>336</v>
      </c>
      <c r="B111" s="160"/>
      <c r="C111" s="30"/>
      <c r="D111" s="33"/>
      <c r="E111" s="30">
        <v>0.8</v>
      </c>
      <c r="F111" s="156"/>
      <c r="G111" s="155"/>
    </row>
    <row r="112" spans="1:7" s="101" customFormat="1" ht="38.25" customHeight="1">
      <c r="A112" s="70" t="s">
        <v>337</v>
      </c>
      <c r="B112" s="160"/>
      <c r="C112" s="30"/>
      <c r="D112" s="33"/>
      <c r="E112" s="30">
        <v>1.2</v>
      </c>
      <c r="F112" s="156"/>
      <c r="G112" s="155"/>
    </row>
    <row r="113" spans="1:7" s="101" customFormat="1" ht="38.25" customHeight="1">
      <c r="A113" s="70" t="s">
        <v>338</v>
      </c>
      <c r="B113" s="160"/>
      <c r="C113" s="30"/>
      <c r="D113" s="33"/>
      <c r="E113" s="30">
        <v>0.6</v>
      </c>
      <c r="F113" s="156"/>
      <c r="G113" s="155"/>
    </row>
    <row r="114" spans="1:7" s="101" customFormat="1" ht="38.25" customHeight="1">
      <c r="A114" s="70" t="s">
        <v>339</v>
      </c>
      <c r="B114" s="160"/>
      <c r="C114" s="30"/>
      <c r="D114" s="33"/>
      <c r="E114" s="30">
        <v>1.7</v>
      </c>
      <c r="F114" s="156"/>
      <c r="G114" s="155"/>
    </row>
    <row r="115" spans="1:7" s="101" customFormat="1" ht="38.25" customHeight="1">
      <c r="A115" s="70" t="s">
        <v>340</v>
      </c>
      <c r="B115" s="160"/>
      <c r="C115" s="30"/>
      <c r="D115" s="33"/>
      <c r="E115" s="30">
        <v>5.7</v>
      </c>
      <c r="F115" s="156"/>
      <c r="G115" s="155"/>
    </row>
    <row r="116" spans="1:7" s="101" customFormat="1" ht="38.25" customHeight="1">
      <c r="A116" s="70" t="s">
        <v>341</v>
      </c>
      <c r="B116" s="160"/>
      <c r="C116" s="30"/>
      <c r="D116" s="33"/>
      <c r="E116" s="30">
        <v>5.5</v>
      </c>
      <c r="F116" s="156"/>
      <c r="G116" s="155"/>
    </row>
    <row r="117" spans="1:7" s="101" customFormat="1" ht="38.25" customHeight="1">
      <c r="A117" s="70" t="s">
        <v>342</v>
      </c>
      <c r="B117" s="160"/>
      <c r="C117" s="30"/>
      <c r="D117" s="33"/>
      <c r="E117" s="30">
        <v>1</v>
      </c>
      <c r="F117" s="156"/>
      <c r="G117" s="155"/>
    </row>
    <row r="118" spans="1:7" s="101" customFormat="1" ht="38.25" customHeight="1">
      <c r="A118" s="70" t="s">
        <v>343</v>
      </c>
      <c r="B118" s="160"/>
      <c r="C118" s="30"/>
      <c r="D118" s="33"/>
      <c r="E118" s="30">
        <v>2.2999999999999998</v>
      </c>
      <c r="F118" s="156"/>
      <c r="G118" s="155"/>
    </row>
    <row r="119" spans="1:7" s="101" customFormat="1" ht="38.25" customHeight="1">
      <c r="A119" s="70" t="s">
        <v>344</v>
      </c>
      <c r="B119" s="160"/>
      <c r="C119" s="30"/>
      <c r="D119" s="33"/>
      <c r="E119" s="30">
        <v>0.7</v>
      </c>
      <c r="F119" s="156"/>
      <c r="G119" s="155"/>
    </row>
    <row r="120" spans="1:7" s="101" customFormat="1" ht="38.25" customHeight="1">
      <c r="A120" s="70" t="s">
        <v>345</v>
      </c>
      <c r="B120" s="160"/>
      <c r="C120" s="30"/>
      <c r="D120" s="33"/>
      <c r="E120" s="30">
        <v>0.4</v>
      </c>
      <c r="F120" s="156"/>
      <c r="G120" s="155"/>
    </row>
    <row r="121" spans="1:7" s="101" customFormat="1" ht="38.25" customHeight="1">
      <c r="A121" s="70" t="s">
        <v>346</v>
      </c>
      <c r="B121" s="160"/>
      <c r="C121" s="30"/>
      <c r="D121" s="33"/>
      <c r="E121" s="30">
        <v>1.5</v>
      </c>
      <c r="F121" s="156"/>
      <c r="G121" s="155"/>
    </row>
    <row r="122" spans="1:7" s="101" customFormat="1" ht="38.25" customHeight="1">
      <c r="A122" s="70" t="s">
        <v>347</v>
      </c>
      <c r="B122" s="160"/>
      <c r="C122" s="30"/>
      <c r="D122" s="33"/>
      <c r="E122" s="30">
        <v>4.5</v>
      </c>
      <c r="F122" s="156"/>
      <c r="G122" s="155"/>
    </row>
    <row r="123" spans="1:7" s="101" customFormat="1" ht="38.25" customHeight="1">
      <c r="A123" s="70" t="s">
        <v>348</v>
      </c>
      <c r="B123" s="160"/>
      <c r="C123" s="30"/>
      <c r="D123" s="33"/>
      <c r="E123" s="30">
        <v>10.7</v>
      </c>
      <c r="F123" s="156"/>
      <c r="G123" s="155"/>
    </row>
    <row r="124" spans="1:7" s="101" customFormat="1" ht="38.25" customHeight="1">
      <c r="A124" s="64" t="s">
        <v>353</v>
      </c>
      <c r="B124" s="160"/>
      <c r="C124" s="30"/>
      <c r="D124" s="33"/>
      <c r="E124" s="30">
        <f>5.2+6.4</f>
        <v>11.600000000000001</v>
      </c>
      <c r="F124" s="156"/>
      <c r="G124" s="155"/>
    </row>
    <row r="125" spans="1:7" s="101" customFormat="1" ht="38.25" customHeight="1">
      <c r="A125" s="63" t="s">
        <v>349</v>
      </c>
      <c r="B125" s="160"/>
      <c r="C125" s="30"/>
      <c r="D125" s="33"/>
      <c r="E125" s="30">
        <v>8</v>
      </c>
      <c r="F125" s="156"/>
      <c r="G125" s="155"/>
    </row>
    <row r="126" spans="1:7" s="101" customFormat="1" ht="38.25" customHeight="1">
      <c r="A126" s="64" t="s">
        <v>350</v>
      </c>
      <c r="B126" s="160"/>
      <c r="C126" s="30"/>
      <c r="D126" s="33"/>
      <c r="E126" s="30">
        <v>4.5999999999999996</v>
      </c>
      <c r="F126" s="156"/>
      <c r="G126" s="155"/>
    </row>
    <row r="127" spans="1:7" s="101" customFormat="1" ht="38.25" customHeight="1">
      <c r="A127" s="64" t="s">
        <v>351</v>
      </c>
      <c r="B127" s="160"/>
      <c r="C127" s="30"/>
      <c r="D127" s="33"/>
      <c r="E127" s="30">
        <v>2.1</v>
      </c>
      <c r="F127" s="156"/>
      <c r="G127" s="155"/>
    </row>
    <row r="128" spans="1:7" s="101" customFormat="1" ht="38.25" customHeight="1">
      <c r="A128" s="60" t="s">
        <v>352</v>
      </c>
      <c r="B128" s="160"/>
      <c r="C128" s="30"/>
      <c r="D128" s="33"/>
      <c r="E128" s="30">
        <v>1.4</v>
      </c>
      <c r="F128" s="156"/>
      <c r="G128" s="155"/>
    </row>
    <row r="129" spans="1:7" s="101" customFormat="1" ht="38.25" customHeight="1">
      <c r="A129" s="60" t="s">
        <v>518</v>
      </c>
      <c r="B129" s="160"/>
      <c r="C129" s="30"/>
      <c r="D129" s="33"/>
      <c r="E129" s="30">
        <f>1.6+4</f>
        <v>5.6</v>
      </c>
      <c r="F129" s="156"/>
      <c r="G129" s="155"/>
    </row>
    <row r="130" spans="1:7" s="101" customFormat="1" ht="38.25" customHeight="1">
      <c r="A130" s="60" t="s">
        <v>519</v>
      </c>
      <c r="B130" s="160"/>
      <c r="C130" s="30"/>
      <c r="D130" s="33"/>
      <c r="E130" s="30">
        <v>2.7</v>
      </c>
      <c r="F130" s="156"/>
      <c r="G130" s="155"/>
    </row>
    <row r="131" spans="1:7" s="101" customFormat="1" ht="38.25" customHeight="1">
      <c r="A131" s="60" t="s">
        <v>520</v>
      </c>
      <c r="B131" s="160"/>
      <c r="C131" s="30"/>
      <c r="D131" s="33"/>
      <c r="E131" s="30">
        <v>5</v>
      </c>
      <c r="F131" s="156"/>
      <c r="G131" s="155"/>
    </row>
    <row r="132" spans="1:7" s="101" customFormat="1" ht="38.25" customHeight="1">
      <c r="A132" s="60" t="s">
        <v>521</v>
      </c>
      <c r="B132" s="160"/>
      <c r="C132" s="30"/>
      <c r="D132" s="33"/>
      <c r="E132" s="30">
        <v>7.6</v>
      </c>
      <c r="F132" s="156"/>
      <c r="G132" s="155"/>
    </row>
    <row r="133" spans="1:7" s="101" customFormat="1" ht="38.25" customHeight="1">
      <c r="A133" s="60" t="s">
        <v>522</v>
      </c>
      <c r="B133" s="160"/>
      <c r="C133" s="30"/>
      <c r="D133" s="33"/>
      <c r="E133" s="30">
        <v>15.3</v>
      </c>
      <c r="F133" s="156"/>
      <c r="G133" s="155"/>
    </row>
    <row r="134" spans="1:7" s="101" customFormat="1" ht="40.5" customHeight="1">
      <c r="A134" s="92" t="s">
        <v>10</v>
      </c>
      <c r="B134" s="160">
        <v>4050</v>
      </c>
      <c r="C134" s="33">
        <f>C135</f>
        <v>1959.7</v>
      </c>
      <c r="D134" s="33"/>
      <c r="E134" s="30"/>
      <c r="F134" s="156">
        <f>E134-D134</f>
        <v>0</v>
      </c>
      <c r="G134" s="155"/>
    </row>
    <row r="135" spans="1:7" ht="78" customHeight="1">
      <c r="A135" s="161" t="s">
        <v>297</v>
      </c>
      <c r="B135" s="68"/>
      <c r="C135" s="30">
        <v>1959.7</v>
      </c>
      <c r="D135" s="30"/>
      <c r="E135" s="30"/>
      <c r="F135" s="30">
        <f>E135-D135</f>
        <v>0</v>
      </c>
      <c r="G135" s="158"/>
    </row>
    <row r="136" spans="1:7" ht="27" customHeight="1">
      <c r="A136" s="148"/>
      <c r="B136" s="149"/>
      <c r="C136" s="162"/>
      <c r="D136" s="162"/>
      <c r="E136" s="162"/>
      <c r="F136" s="162"/>
      <c r="G136" s="34"/>
    </row>
    <row r="137" spans="1:7" ht="26.25" customHeight="1">
      <c r="A137" s="241" t="s">
        <v>604</v>
      </c>
      <c r="B137" s="31"/>
      <c r="C137" s="298"/>
      <c r="D137" s="298"/>
      <c r="E137" s="150"/>
      <c r="F137" s="301" t="s">
        <v>536</v>
      </c>
      <c r="G137" s="301"/>
    </row>
    <row r="138" spans="1:7">
      <c r="A138" s="151" t="s">
        <v>60</v>
      </c>
      <c r="B138" s="32"/>
      <c r="C138" s="284" t="s">
        <v>66</v>
      </c>
      <c r="D138" s="284"/>
      <c r="E138" s="148"/>
      <c r="F138" s="299" t="s">
        <v>18</v>
      </c>
      <c r="G138" s="299"/>
    </row>
    <row r="139" spans="1:7">
      <c r="A139" s="99"/>
      <c r="C139" s="147"/>
      <c r="D139" s="100"/>
      <c r="E139" s="100"/>
      <c r="F139" s="100"/>
    </row>
    <row r="140" spans="1:7">
      <c r="A140" s="99"/>
      <c r="C140" s="147"/>
      <c r="D140" s="100"/>
      <c r="E140" s="100"/>
      <c r="F140" s="100"/>
    </row>
    <row r="141" spans="1:7">
      <c r="A141" s="99"/>
      <c r="C141" s="147"/>
      <c r="D141" s="100"/>
      <c r="E141" s="100"/>
      <c r="F141" s="100"/>
    </row>
    <row r="142" spans="1:7">
      <c r="A142" s="99"/>
      <c r="C142" s="147"/>
      <c r="D142" s="100"/>
      <c r="E142" s="100"/>
      <c r="F142" s="100"/>
    </row>
    <row r="143" spans="1:7">
      <c r="A143" s="99"/>
      <c r="C143" s="147"/>
      <c r="D143" s="100"/>
      <c r="E143" s="100"/>
      <c r="F143" s="100"/>
    </row>
    <row r="144" spans="1:7">
      <c r="A144" s="99"/>
      <c r="C144" s="147"/>
      <c r="D144" s="100"/>
      <c r="E144" s="100"/>
      <c r="F144" s="100"/>
    </row>
    <row r="145" spans="1:6">
      <c r="A145" s="99"/>
      <c r="C145" s="147"/>
      <c r="D145" s="100"/>
      <c r="E145" s="100"/>
      <c r="F145" s="100"/>
    </row>
    <row r="146" spans="1:6">
      <c r="A146" s="99"/>
      <c r="C146" s="147"/>
      <c r="D146" s="100"/>
      <c r="E146" s="100"/>
      <c r="F146" s="100"/>
    </row>
    <row r="147" spans="1:6">
      <c r="A147" s="99"/>
      <c r="C147" s="147"/>
      <c r="D147" s="100"/>
      <c r="E147" s="100"/>
      <c r="F147" s="100"/>
    </row>
    <row r="148" spans="1:6">
      <c r="A148" s="99"/>
      <c r="C148" s="147"/>
      <c r="D148" s="100"/>
      <c r="E148" s="100"/>
      <c r="F148" s="100"/>
    </row>
    <row r="149" spans="1:6">
      <c r="A149" s="99"/>
      <c r="C149" s="147"/>
      <c r="D149" s="100"/>
      <c r="E149" s="100"/>
      <c r="F149" s="100"/>
    </row>
    <row r="150" spans="1:6">
      <c r="A150" s="99"/>
      <c r="C150" s="147"/>
      <c r="D150" s="100"/>
      <c r="E150" s="100"/>
      <c r="F150" s="100"/>
    </row>
    <row r="151" spans="1:6">
      <c r="A151" s="99"/>
      <c r="C151" s="147"/>
      <c r="D151" s="100"/>
      <c r="E151" s="100"/>
      <c r="F151" s="100"/>
    </row>
    <row r="152" spans="1:6">
      <c r="A152" s="99"/>
      <c r="C152" s="147"/>
      <c r="D152" s="100"/>
      <c r="E152" s="100"/>
      <c r="F152" s="100"/>
    </row>
    <row r="153" spans="1:6">
      <c r="A153" s="99"/>
      <c r="C153" s="147"/>
      <c r="D153" s="100"/>
      <c r="E153" s="100"/>
      <c r="F153" s="100"/>
    </row>
    <row r="154" spans="1:6">
      <c r="A154" s="99"/>
      <c r="C154" s="147"/>
      <c r="D154" s="100"/>
      <c r="E154" s="100"/>
      <c r="F154" s="100"/>
    </row>
    <row r="155" spans="1:6">
      <c r="A155" s="99"/>
      <c r="C155" s="147"/>
      <c r="D155" s="100"/>
      <c r="E155" s="100"/>
      <c r="F155" s="100"/>
    </row>
    <row r="156" spans="1:6">
      <c r="A156" s="99"/>
      <c r="C156" s="147"/>
      <c r="D156" s="100"/>
      <c r="E156" s="100"/>
      <c r="F156" s="100"/>
    </row>
    <row r="157" spans="1:6">
      <c r="A157" s="99"/>
      <c r="C157" s="147"/>
      <c r="D157" s="100"/>
      <c r="E157" s="100"/>
      <c r="F157" s="100"/>
    </row>
    <row r="158" spans="1:6">
      <c r="A158" s="99"/>
      <c r="C158" s="147"/>
      <c r="D158" s="100"/>
      <c r="E158" s="100"/>
      <c r="F158" s="100"/>
    </row>
    <row r="159" spans="1:6">
      <c r="A159" s="99"/>
      <c r="C159" s="147"/>
      <c r="D159" s="100"/>
      <c r="E159" s="100"/>
      <c r="F159" s="100"/>
    </row>
    <row r="160" spans="1:6">
      <c r="A160" s="99"/>
      <c r="C160" s="147"/>
      <c r="D160" s="100"/>
      <c r="E160" s="100"/>
      <c r="F160" s="100"/>
    </row>
    <row r="161" spans="1:6">
      <c r="A161" s="99"/>
      <c r="C161" s="147"/>
      <c r="D161" s="100"/>
      <c r="E161" s="100"/>
      <c r="F161" s="100"/>
    </row>
    <row r="162" spans="1:6">
      <c r="A162" s="99"/>
      <c r="C162" s="147"/>
      <c r="D162" s="100"/>
      <c r="E162" s="100"/>
      <c r="F162" s="100"/>
    </row>
    <row r="163" spans="1:6">
      <c r="A163" s="99"/>
      <c r="C163" s="147"/>
      <c r="D163" s="100"/>
      <c r="E163" s="100"/>
      <c r="F163" s="100"/>
    </row>
    <row r="164" spans="1:6">
      <c r="A164" s="99"/>
      <c r="C164" s="147"/>
      <c r="D164" s="100"/>
      <c r="E164" s="100"/>
      <c r="F164" s="100"/>
    </row>
    <row r="165" spans="1:6">
      <c r="A165" s="99"/>
      <c r="C165" s="147"/>
      <c r="D165" s="100"/>
      <c r="E165" s="100"/>
      <c r="F165" s="100"/>
    </row>
    <row r="166" spans="1:6">
      <c r="A166" s="99"/>
      <c r="C166" s="147"/>
      <c r="D166" s="100"/>
      <c r="E166" s="100"/>
      <c r="F166" s="100"/>
    </row>
    <row r="167" spans="1:6">
      <c r="A167" s="99"/>
      <c r="C167" s="147"/>
      <c r="D167" s="100"/>
      <c r="E167" s="100"/>
      <c r="F167" s="100"/>
    </row>
    <row r="168" spans="1:6">
      <c r="A168" s="99"/>
      <c r="C168" s="147"/>
      <c r="D168" s="100"/>
      <c r="E168" s="100"/>
      <c r="F168" s="100"/>
    </row>
    <row r="169" spans="1:6">
      <c r="A169" s="99"/>
      <c r="C169" s="147"/>
      <c r="D169" s="100"/>
      <c r="E169" s="100"/>
      <c r="F169" s="100"/>
    </row>
    <row r="170" spans="1:6">
      <c r="A170" s="99"/>
      <c r="C170" s="147"/>
      <c r="D170" s="100"/>
      <c r="E170" s="100"/>
      <c r="F170" s="100"/>
    </row>
    <row r="171" spans="1:6">
      <c r="A171" s="99"/>
      <c r="C171" s="147"/>
      <c r="D171" s="100"/>
      <c r="E171" s="100"/>
      <c r="F171" s="100"/>
    </row>
    <row r="172" spans="1:6">
      <c r="A172" s="99"/>
      <c r="C172" s="147"/>
      <c r="D172" s="100"/>
      <c r="E172" s="100"/>
      <c r="F172" s="100"/>
    </row>
    <row r="173" spans="1:6">
      <c r="A173" s="99"/>
      <c r="C173" s="147"/>
      <c r="D173" s="100"/>
      <c r="E173" s="100"/>
      <c r="F173" s="100"/>
    </row>
    <row r="174" spans="1:6">
      <c r="A174" s="99"/>
      <c r="C174" s="147"/>
      <c r="D174" s="100"/>
      <c r="E174" s="100"/>
      <c r="F174" s="100"/>
    </row>
    <row r="175" spans="1:6">
      <c r="A175" s="99"/>
      <c r="C175" s="147"/>
      <c r="D175" s="100"/>
      <c r="E175" s="100"/>
      <c r="F175" s="100"/>
    </row>
    <row r="176" spans="1:6">
      <c r="A176" s="99"/>
      <c r="C176" s="147"/>
      <c r="D176" s="100"/>
      <c r="E176" s="100"/>
      <c r="F176" s="100"/>
    </row>
    <row r="177" spans="1:6">
      <c r="A177" s="99"/>
      <c r="C177" s="147"/>
      <c r="D177" s="100"/>
      <c r="E177" s="100"/>
      <c r="F177" s="100"/>
    </row>
    <row r="178" spans="1:6">
      <c r="A178" s="99"/>
      <c r="C178" s="147"/>
      <c r="D178" s="100"/>
      <c r="E178" s="100"/>
      <c r="F178" s="100"/>
    </row>
    <row r="179" spans="1:6">
      <c r="A179" s="99"/>
      <c r="C179" s="147"/>
      <c r="D179" s="100"/>
      <c r="E179" s="100"/>
      <c r="F179" s="100"/>
    </row>
    <row r="180" spans="1:6">
      <c r="A180" s="99"/>
      <c r="C180" s="147"/>
      <c r="D180" s="100"/>
      <c r="E180" s="100"/>
      <c r="F180" s="100"/>
    </row>
    <row r="181" spans="1:6">
      <c r="A181" s="99"/>
      <c r="C181" s="147"/>
      <c r="D181" s="100"/>
      <c r="E181" s="100"/>
      <c r="F181" s="100"/>
    </row>
    <row r="182" spans="1:6">
      <c r="A182" s="99"/>
      <c r="C182" s="147"/>
      <c r="D182" s="100"/>
      <c r="E182" s="100"/>
      <c r="F182" s="100"/>
    </row>
    <row r="183" spans="1:6">
      <c r="A183" s="99"/>
      <c r="C183" s="147"/>
      <c r="D183" s="100"/>
      <c r="E183" s="100"/>
      <c r="F183" s="100"/>
    </row>
    <row r="184" spans="1:6">
      <c r="A184" s="99"/>
      <c r="C184" s="147"/>
      <c r="D184" s="100"/>
      <c r="E184" s="100"/>
      <c r="F184" s="100"/>
    </row>
    <row r="185" spans="1:6">
      <c r="A185" s="99"/>
      <c r="C185" s="147"/>
      <c r="D185" s="100"/>
      <c r="E185" s="100"/>
      <c r="F185" s="100"/>
    </row>
    <row r="186" spans="1:6">
      <c r="A186" s="99"/>
      <c r="C186" s="147"/>
      <c r="D186" s="100"/>
      <c r="E186" s="100"/>
      <c r="F186" s="100"/>
    </row>
    <row r="187" spans="1:6">
      <c r="A187" s="99"/>
      <c r="C187" s="147"/>
      <c r="D187" s="100"/>
      <c r="E187" s="100"/>
      <c r="F187" s="100"/>
    </row>
    <row r="188" spans="1:6">
      <c r="A188" s="99"/>
      <c r="C188" s="147"/>
      <c r="D188" s="100"/>
      <c r="E188" s="100"/>
      <c r="F188" s="100"/>
    </row>
    <row r="189" spans="1:6">
      <c r="A189" s="99"/>
      <c r="C189" s="147"/>
      <c r="D189" s="100"/>
      <c r="E189" s="100"/>
      <c r="F189" s="100"/>
    </row>
    <row r="190" spans="1:6">
      <c r="A190" s="99"/>
      <c r="C190" s="147"/>
      <c r="D190" s="100"/>
      <c r="E190" s="100"/>
      <c r="F190" s="100"/>
    </row>
    <row r="191" spans="1:6">
      <c r="A191" s="99"/>
      <c r="C191" s="147"/>
      <c r="D191" s="100"/>
      <c r="E191" s="100"/>
      <c r="F191" s="100"/>
    </row>
    <row r="192" spans="1:6">
      <c r="A192" s="99"/>
      <c r="C192" s="147"/>
      <c r="D192" s="100"/>
      <c r="E192" s="100"/>
      <c r="F192" s="100"/>
    </row>
    <row r="193" spans="1:1">
      <c r="A193" s="99"/>
    </row>
    <row r="194" spans="1:1">
      <c r="A194" s="102"/>
    </row>
    <row r="195" spans="1:1">
      <c r="A195" s="102"/>
    </row>
    <row r="196" spans="1:1">
      <c r="A196" s="102"/>
    </row>
    <row r="197" spans="1:1">
      <c r="A197" s="102"/>
    </row>
    <row r="198" spans="1:1">
      <c r="A198" s="102"/>
    </row>
    <row r="199" spans="1:1">
      <c r="A199" s="102"/>
    </row>
    <row r="200" spans="1:1">
      <c r="A200" s="102"/>
    </row>
    <row r="201" spans="1:1">
      <c r="A201" s="102"/>
    </row>
    <row r="202" spans="1:1">
      <c r="A202" s="102"/>
    </row>
    <row r="203" spans="1:1">
      <c r="A203" s="102"/>
    </row>
    <row r="204" spans="1:1">
      <c r="A204" s="102"/>
    </row>
    <row r="205" spans="1:1">
      <c r="A205" s="102"/>
    </row>
    <row r="206" spans="1:1">
      <c r="A206" s="102"/>
    </row>
    <row r="207" spans="1:1">
      <c r="A207" s="102"/>
    </row>
    <row r="208" spans="1:1">
      <c r="A208" s="102"/>
    </row>
    <row r="209" spans="1:1">
      <c r="A209" s="102"/>
    </row>
    <row r="210" spans="1:1">
      <c r="A210" s="102"/>
    </row>
    <row r="211" spans="1:1">
      <c r="A211" s="102"/>
    </row>
    <row r="212" spans="1:1">
      <c r="A212" s="102"/>
    </row>
    <row r="213" spans="1:1">
      <c r="A213" s="102"/>
    </row>
    <row r="214" spans="1:1">
      <c r="A214" s="102"/>
    </row>
    <row r="215" spans="1:1">
      <c r="A215" s="102"/>
    </row>
    <row r="216" spans="1:1">
      <c r="A216" s="102"/>
    </row>
    <row r="217" spans="1:1">
      <c r="A217" s="102"/>
    </row>
    <row r="218" spans="1:1">
      <c r="A218" s="102"/>
    </row>
    <row r="219" spans="1:1">
      <c r="A219" s="102"/>
    </row>
    <row r="220" spans="1:1">
      <c r="A220" s="102"/>
    </row>
    <row r="221" spans="1:1">
      <c r="A221" s="102"/>
    </row>
    <row r="222" spans="1:1">
      <c r="A222" s="102"/>
    </row>
    <row r="223" spans="1:1">
      <c r="A223" s="102"/>
    </row>
    <row r="224" spans="1:1">
      <c r="A224" s="102"/>
    </row>
    <row r="225" spans="1:1">
      <c r="A225" s="102"/>
    </row>
    <row r="226" spans="1:1">
      <c r="A226" s="102"/>
    </row>
    <row r="227" spans="1:1">
      <c r="A227" s="102"/>
    </row>
    <row r="228" spans="1:1">
      <c r="A228" s="102"/>
    </row>
    <row r="229" spans="1:1">
      <c r="A229" s="102"/>
    </row>
    <row r="230" spans="1:1">
      <c r="A230" s="102"/>
    </row>
    <row r="231" spans="1:1">
      <c r="A231" s="102"/>
    </row>
    <row r="232" spans="1:1">
      <c r="A232" s="102"/>
    </row>
    <row r="233" spans="1:1">
      <c r="A233" s="102"/>
    </row>
    <row r="234" spans="1:1">
      <c r="A234" s="102"/>
    </row>
    <row r="235" spans="1:1">
      <c r="A235" s="102"/>
    </row>
    <row r="236" spans="1:1">
      <c r="A236" s="102"/>
    </row>
    <row r="237" spans="1:1">
      <c r="A237" s="102"/>
    </row>
    <row r="238" spans="1:1">
      <c r="A238" s="102"/>
    </row>
    <row r="239" spans="1:1">
      <c r="A239" s="102"/>
    </row>
    <row r="240" spans="1:1">
      <c r="A240" s="102"/>
    </row>
    <row r="241" spans="1:1">
      <c r="A241" s="102"/>
    </row>
    <row r="242" spans="1:1">
      <c r="A242" s="102"/>
    </row>
    <row r="243" spans="1:1">
      <c r="A243" s="102"/>
    </row>
    <row r="244" spans="1:1">
      <c r="A244" s="102"/>
    </row>
    <row r="245" spans="1:1">
      <c r="A245" s="102"/>
    </row>
    <row r="246" spans="1:1">
      <c r="A246" s="102"/>
    </row>
    <row r="247" spans="1:1">
      <c r="A247" s="102"/>
    </row>
    <row r="248" spans="1:1">
      <c r="A248" s="102"/>
    </row>
    <row r="249" spans="1:1">
      <c r="A249" s="102"/>
    </row>
    <row r="250" spans="1:1">
      <c r="A250" s="102"/>
    </row>
    <row r="251" spans="1:1">
      <c r="A251" s="102"/>
    </row>
    <row r="252" spans="1:1">
      <c r="A252" s="102"/>
    </row>
    <row r="253" spans="1:1">
      <c r="A253" s="102"/>
    </row>
    <row r="254" spans="1:1">
      <c r="A254" s="102"/>
    </row>
    <row r="255" spans="1:1">
      <c r="A255" s="102"/>
    </row>
    <row r="256" spans="1:1">
      <c r="A256" s="102"/>
    </row>
    <row r="257" spans="1:1">
      <c r="A257" s="102"/>
    </row>
    <row r="258" spans="1:1">
      <c r="A258" s="102"/>
    </row>
    <row r="259" spans="1:1">
      <c r="A259" s="102"/>
    </row>
    <row r="260" spans="1:1">
      <c r="A260" s="102"/>
    </row>
    <row r="261" spans="1:1">
      <c r="A261" s="102"/>
    </row>
    <row r="262" spans="1:1">
      <c r="A262" s="102"/>
    </row>
    <row r="263" spans="1:1">
      <c r="A263" s="102"/>
    </row>
    <row r="264" spans="1:1">
      <c r="A264" s="102"/>
    </row>
    <row r="265" spans="1:1">
      <c r="A265" s="102"/>
    </row>
    <row r="266" spans="1:1">
      <c r="A266" s="102"/>
    </row>
    <row r="267" spans="1:1">
      <c r="A267" s="102"/>
    </row>
    <row r="268" spans="1:1">
      <c r="A268" s="102"/>
    </row>
    <row r="269" spans="1:1">
      <c r="A269" s="102"/>
    </row>
    <row r="270" spans="1:1">
      <c r="A270" s="102"/>
    </row>
    <row r="271" spans="1:1">
      <c r="A271" s="102"/>
    </row>
    <row r="272" spans="1:1">
      <c r="A272" s="102"/>
    </row>
    <row r="273" spans="1:1">
      <c r="A273" s="102"/>
    </row>
    <row r="274" spans="1:1">
      <c r="A274" s="102"/>
    </row>
    <row r="275" spans="1:1">
      <c r="A275" s="102"/>
    </row>
    <row r="276" spans="1:1">
      <c r="A276" s="102"/>
    </row>
    <row r="277" spans="1:1">
      <c r="A277" s="102"/>
    </row>
    <row r="278" spans="1:1">
      <c r="A278" s="102"/>
    </row>
    <row r="279" spans="1:1">
      <c r="A279" s="102"/>
    </row>
    <row r="280" spans="1:1">
      <c r="A280" s="102"/>
    </row>
    <row r="281" spans="1:1">
      <c r="A281" s="102"/>
    </row>
    <row r="282" spans="1:1">
      <c r="A282" s="102"/>
    </row>
    <row r="283" spans="1:1">
      <c r="A283" s="102"/>
    </row>
    <row r="284" spans="1:1">
      <c r="A284" s="102"/>
    </row>
    <row r="285" spans="1:1">
      <c r="A285" s="102"/>
    </row>
    <row r="286" spans="1:1">
      <c r="A286" s="102"/>
    </row>
    <row r="287" spans="1:1">
      <c r="A287" s="102"/>
    </row>
    <row r="288" spans="1:1">
      <c r="A288" s="102"/>
    </row>
    <row r="289" spans="1:1">
      <c r="A289" s="102"/>
    </row>
    <row r="290" spans="1:1">
      <c r="A290" s="102"/>
    </row>
    <row r="291" spans="1:1">
      <c r="A291" s="102"/>
    </row>
    <row r="292" spans="1:1">
      <c r="A292" s="102"/>
    </row>
    <row r="293" spans="1:1">
      <c r="A293" s="102"/>
    </row>
    <row r="294" spans="1:1">
      <c r="A294" s="102"/>
    </row>
    <row r="295" spans="1:1">
      <c r="A295" s="102"/>
    </row>
    <row r="296" spans="1:1">
      <c r="A296" s="102"/>
    </row>
    <row r="297" spans="1:1">
      <c r="A297" s="102"/>
    </row>
    <row r="298" spans="1:1">
      <c r="A298" s="102"/>
    </row>
    <row r="299" spans="1:1">
      <c r="A299" s="102"/>
    </row>
    <row r="300" spans="1:1">
      <c r="A300" s="102"/>
    </row>
    <row r="301" spans="1:1">
      <c r="A301" s="102"/>
    </row>
    <row r="302" spans="1:1">
      <c r="A302" s="102"/>
    </row>
    <row r="303" spans="1:1">
      <c r="A303" s="102"/>
    </row>
    <row r="304" spans="1:1">
      <c r="A304" s="102"/>
    </row>
    <row r="305" spans="1:1">
      <c r="A305" s="102"/>
    </row>
    <row r="306" spans="1:1">
      <c r="A306" s="102"/>
    </row>
    <row r="307" spans="1:1">
      <c r="A307" s="102"/>
    </row>
    <row r="308" spans="1:1">
      <c r="A308" s="102"/>
    </row>
    <row r="309" spans="1:1">
      <c r="A309" s="102"/>
    </row>
    <row r="310" spans="1:1">
      <c r="A310" s="102"/>
    </row>
    <row r="311" spans="1:1">
      <c r="A311" s="102"/>
    </row>
    <row r="312" spans="1:1">
      <c r="A312" s="102"/>
    </row>
    <row r="313" spans="1:1">
      <c r="A313" s="102"/>
    </row>
    <row r="314" spans="1:1">
      <c r="A314" s="102"/>
    </row>
    <row r="315" spans="1:1">
      <c r="A315" s="102"/>
    </row>
    <row r="316" spans="1:1">
      <c r="A316" s="102"/>
    </row>
    <row r="317" spans="1:1">
      <c r="A317" s="102"/>
    </row>
    <row r="318" spans="1:1">
      <c r="A318" s="102"/>
    </row>
    <row r="319" spans="1:1">
      <c r="A319" s="102"/>
    </row>
    <row r="320" spans="1:1">
      <c r="A320" s="102"/>
    </row>
    <row r="321" spans="1:1">
      <c r="A321" s="102"/>
    </row>
    <row r="322" spans="1:1">
      <c r="A322" s="102"/>
    </row>
    <row r="323" spans="1:1">
      <c r="A323" s="102"/>
    </row>
    <row r="324" spans="1:1">
      <c r="A324" s="102"/>
    </row>
    <row r="325" spans="1:1">
      <c r="A325" s="102"/>
    </row>
    <row r="326" spans="1:1">
      <c r="A326" s="102"/>
    </row>
    <row r="327" spans="1:1">
      <c r="A327" s="102"/>
    </row>
    <row r="328" spans="1:1">
      <c r="A328" s="102"/>
    </row>
    <row r="329" spans="1:1">
      <c r="A329" s="102"/>
    </row>
    <row r="330" spans="1:1">
      <c r="A330" s="102"/>
    </row>
    <row r="331" spans="1:1">
      <c r="A331" s="102"/>
    </row>
    <row r="332" spans="1:1">
      <c r="A332" s="102"/>
    </row>
    <row r="333" spans="1:1">
      <c r="A333" s="102"/>
    </row>
    <row r="334" spans="1:1">
      <c r="A334" s="102"/>
    </row>
    <row r="335" spans="1:1">
      <c r="A335" s="102"/>
    </row>
    <row r="336" spans="1:1">
      <c r="A336" s="102"/>
    </row>
    <row r="337" spans="1:1">
      <c r="A337" s="102"/>
    </row>
    <row r="338" spans="1:1">
      <c r="A338" s="102"/>
    </row>
    <row r="339" spans="1:1">
      <c r="A339" s="102"/>
    </row>
    <row r="340" spans="1:1">
      <c r="A340" s="102"/>
    </row>
    <row r="341" spans="1:1">
      <c r="A341" s="102"/>
    </row>
    <row r="342" spans="1:1">
      <c r="A342" s="102"/>
    </row>
    <row r="343" spans="1:1">
      <c r="A343" s="102"/>
    </row>
    <row r="344" spans="1:1">
      <c r="A344" s="102"/>
    </row>
    <row r="345" spans="1:1">
      <c r="A345" s="102"/>
    </row>
    <row r="346" spans="1:1">
      <c r="A346" s="102"/>
    </row>
    <row r="347" spans="1:1">
      <c r="A347" s="102"/>
    </row>
    <row r="348" spans="1:1">
      <c r="A348" s="102"/>
    </row>
    <row r="349" spans="1:1">
      <c r="A349" s="102"/>
    </row>
    <row r="350" spans="1:1">
      <c r="A350" s="102"/>
    </row>
    <row r="351" spans="1:1">
      <c r="A351" s="102"/>
    </row>
    <row r="352" spans="1:1">
      <c r="A352" s="102"/>
    </row>
    <row r="353" spans="1:1">
      <c r="A353" s="102"/>
    </row>
    <row r="354" spans="1:1">
      <c r="A354" s="102"/>
    </row>
    <row r="355" spans="1:1">
      <c r="A355" s="102"/>
    </row>
    <row r="356" spans="1:1">
      <c r="A356" s="102"/>
    </row>
    <row r="357" spans="1:1">
      <c r="A357" s="102"/>
    </row>
    <row r="358" spans="1:1">
      <c r="A358" s="102"/>
    </row>
    <row r="359" spans="1:1">
      <c r="A359" s="102"/>
    </row>
    <row r="360" spans="1:1">
      <c r="A360" s="102"/>
    </row>
  </sheetData>
  <mergeCells count="5">
    <mergeCell ref="C137:D137"/>
    <mergeCell ref="C138:D138"/>
    <mergeCell ref="A1:F1"/>
    <mergeCell ref="F137:G137"/>
    <mergeCell ref="F138:G138"/>
  </mergeCells>
  <pageMargins left="0.23622047244094491" right="0.23622047244094491" top="0.23622047244094491" bottom="0.23622047244094491" header="0.19685039370078741" footer="0.19685039370078741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P87"/>
  <sheetViews>
    <sheetView tabSelected="1" view="pageBreakPreview" zoomScale="40" zoomScaleNormal="60" zoomScaleSheetLayoutView="40" workbookViewId="0">
      <selection activeCell="AA5" sqref="AA5"/>
    </sheetView>
  </sheetViews>
  <sheetFormatPr defaultRowHeight="36" customHeight="1"/>
  <cols>
    <col min="1" max="1" width="8.28515625" style="165" customWidth="1"/>
    <col min="2" max="2" width="26.140625" style="165" customWidth="1"/>
    <col min="3" max="3" width="11.28515625" style="165" customWidth="1"/>
    <col min="4" max="4" width="15.28515625" style="165" customWidth="1"/>
    <col min="5" max="10" width="18.42578125" style="165" customWidth="1"/>
    <col min="11" max="11" width="18.7109375" style="165" customWidth="1"/>
    <col min="12" max="12" width="19" style="165" customWidth="1"/>
    <col min="13" max="16" width="18.42578125" style="165" customWidth="1"/>
    <col min="17" max="16384" width="9.140625" style="165"/>
  </cols>
  <sheetData>
    <row r="1" spans="1:16" ht="36" customHeight="1">
      <c r="A1" s="163"/>
      <c r="B1" s="163"/>
      <c r="C1" s="163"/>
      <c r="D1" s="163"/>
      <c r="E1" s="316" t="s">
        <v>523</v>
      </c>
      <c r="F1" s="316"/>
      <c r="G1" s="316"/>
      <c r="H1" s="316"/>
      <c r="I1" s="316"/>
      <c r="J1" s="316"/>
      <c r="K1" s="316"/>
      <c r="L1" s="316"/>
      <c r="M1" s="166"/>
      <c r="N1" s="166"/>
      <c r="O1" s="166"/>
      <c r="P1" s="166"/>
    </row>
    <row r="2" spans="1:16" s="166" customFormat="1" ht="36" customHeight="1">
      <c r="E2" s="316"/>
      <c r="F2" s="316"/>
      <c r="G2" s="316"/>
      <c r="H2" s="316"/>
      <c r="I2" s="316"/>
      <c r="J2" s="316"/>
      <c r="K2" s="316"/>
      <c r="L2" s="316"/>
      <c r="M2" s="165"/>
      <c r="N2" s="165"/>
      <c r="O2" s="165"/>
      <c r="P2" s="164"/>
    </row>
    <row r="3" spans="1:16" ht="36" customHeight="1">
      <c r="A3" s="167"/>
      <c r="B3" s="167"/>
      <c r="C3" s="167"/>
      <c r="D3" s="167"/>
      <c r="E3" s="232"/>
      <c r="F3" s="232"/>
      <c r="G3" s="232"/>
      <c r="H3" s="232"/>
      <c r="I3" s="232"/>
      <c r="J3" s="232"/>
      <c r="K3" s="233"/>
      <c r="L3" s="233"/>
      <c r="P3" s="164" t="s">
        <v>51</v>
      </c>
    </row>
    <row r="4" spans="1:16" ht="96" customHeight="1">
      <c r="A4" s="317" t="s">
        <v>8</v>
      </c>
      <c r="B4" s="317" t="s">
        <v>21</v>
      </c>
      <c r="C4" s="317"/>
      <c r="D4" s="317"/>
      <c r="E4" s="254" t="s">
        <v>134</v>
      </c>
      <c r="F4" s="254"/>
      <c r="G4" s="254" t="s">
        <v>354</v>
      </c>
      <c r="H4" s="254"/>
      <c r="I4" s="254" t="s">
        <v>355</v>
      </c>
      <c r="J4" s="254"/>
      <c r="K4" s="254" t="s">
        <v>356</v>
      </c>
      <c r="L4" s="254"/>
      <c r="M4" s="317" t="s">
        <v>135</v>
      </c>
      <c r="N4" s="317"/>
      <c r="O4" s="317"/>
      <c r="P4" s="317"/>
    </row>
    <row r="5" spans="1:16" ht="73.5" customHeight="1">
      <c r="A5" s="317"/>
      <c r="B5" s="317"/>
      <c r="C5" s="317"/>
      <c r="D5" s="317"/>
      <c r="E5" s="216" t="s">
        <v>298</v>
      </c>
      <c r="F5" s="216" t="s">
        <v>299</v>
      </c>
      <c r="G5" s="216" t="s">
        <v>298</v>
      </c>
      <c r="H5" s="216" t="s">
        <v>299</v>
      </c>
      <c r="I5" s="216" t="s">
        <v>298</v>
      </c>
      <c r="J5" s="216" t="s">
        <v>299</v>
      </c>
      <c r="K5" s="216" t="s">
        <v>298</v>
      </c>
      <c r="L5" s="216" t="s">
        <v>299</v>
      </c>
      <c r="M5" s="168" t="s">
        <v>298</v>
      </c>
      <c r="N5" s="168" t="s">
        <v>299</v>
      </c>
      <c r="O5" s="39" t="s">
        <v>111</v>
      </c>
      <c r="P5" s="39" t="s">
        <v>114</v>
      </c>
    </row>
    <row r="6" spans="1:16" ht="36" customHeight="1">
      <c r="A6" s="39">
        <v>1</v>
      </c>
      <c r="B6" s="317">
        <v>2</v>
      </c>
      <c r="C6" s="317"/>
      <c r="D6" s="317"/>
      <c r="E6" s="215">
        <v>3</v>
      </c>
      <c r="F6" s="215">
        <v>4</v>
      </c>
      <c r="G6" s="215">
        <v>5</v>
      </c>
      <c r="H6" s="215">
        <v>6</v>
      </c>
      <c r="I6" s="215">
        <v>7</v>
      </c>
      <c r="J6" s="215">
        <v>8</v>
      </c>
      <c r="K6" s="234">
        <v>9</v>
      </c>
      <c r="L6" s="234">
        <v>10</v>
      </c>
      <c r="M6" s="9">
        <v>11</v>
      </c>
      <c r="N6" s="9">
        <v>12</v>
      </c>
      <c r="O6" s="9">
        <v>13</v>
      </c>
      <c r="P6" s="9">
        <v>14</v>
      </c>
    </row>
    <row r="7" spans="1:16" ht="42" customHeight="1">
      <c r="A7" s="11">
        <v>1</v>
      </c>
      <c r="B7" s="318" t="s">
        <v>95</v>
      </c>
      <c r="C7" s="319"/>
      <c r="D7" s="319"/>
      <c r="E7" s="224">
        <f>SUM(E8:E23)</f>
        <v>0</v>
      </c>
      <c r="F7" s="224">
        <f t="shared" ref="F7:L7" si="0">SUM(F8:F23)</f>
        <v>0</v>
      </c>
      <c r="G7" s="224">
        <f t="shared" si="0"/>
        <v>0</v>
      </c>
      <c r="H7" s="224">
        <f t="shared" si="0"/>
        <v>17.899999999999999</v>
      </c>
      <c r="I7" s="224">
        <f t="shared" si="0"/>
        <v>0</v>
      </c>
      <c r="J7" s="224">
        <f t="shared" si="0"/>
        <v>195.3</v>
      </c>
      <c r="K7" s="224">
        <f t="shared" si="0"/>
        <v>0</v>
      </c>
      <c r="L7" s="224">
        <f t="shared" si="0"/>
        <v>554.6</v>
      </c>
      <c r="M7" s="1">
        <f>E7+G7+I7+K7</f>
        <v>0</v>
      </c>
      <c r="N7" s="1">
        <f>SUM(N8:N23)</f>
        <v>767.80000000000007</v>
      </c>
      <c r="O7" s="1">
        <f>N7-M7</f>
        <v>767.80000000000007</v>
      </c>
      <c r="P7" s="1"/>
    </row>
    <row r="8" spans="1:16" ht="20.25">
      <c r="A8" s="39"/>
      <c r="B8" s="321" t="s">
        <v>300</v>
      </c>
      <c r="C8" s="322"/>
      <c r="D8" s="323"/>
      <c r="E8" s="220"/>
      <c r="F8" s="220"/>
      <c r="G8" s="220"/>
      <c r="H8" s="220"/>
      <c r="I8" s="220"/>
      <c r="J8" s="220"/>
      <c r="K8" s="235"/>
      <c r="L8" s="235">
        <v>103.7</v>
      </c>
      <c r="M8" s="10"/>
      <c r="N8" s="10">
        <f>F8+H8+J8+L8</f>
        <v>103.7</v>
      </c>
      <c r="O8" s="10"/>
      <c r="P8" s="10"/>
    </row>
    <row r="9" spans="1:16" ht="36" customHeight="1">
      <c r="A9" s="39"/>
      <c r="B9" s="321" t="s">
        <v>301</v>
      </c>
      <c r="C9" s="322"/>
      <c r="D9" s="323"/>
      <c r="E9" s="220"/>
      <c r="F9" s="220"/>
      <c r="G9" s="220"/>
      <c r="H9" s="220"/>
      <c r="I9" s="220"/>
      <c r="J9" s="220">
        <v>64.400000000000006</v>
      </c>
      <c r="K9" s="235"/>
      <c r="L9" s="235"/>
      <c r="M9" s="10"/>
      <c r="N9" s="10">
        <f t="shared" ref="N9:N23" si="1">F9+H9+J9+L9</f>
        <v>64.400000000000006</v>
      </c>
      <c r="O9" s="10"/>
      <c r="P9" s="10"/>
    </row>
    <row r="10" spans="1:16" ht="20.25">
      <c r="A10" s="39"/>
      <c r="B10" s="321" t="s">
        <v>302</v>
      </c>
      <c r="C10" s="322"/>
      <c r="D10" s="323"/>
      <c r="E10" s="10"/>
      <c r="F10" s="10"/>
      <c r="G10" s="10"/>
      <c r="H10" s="10"/>
      <c r="I10" s="10"/>
      <c r="J10" s="10">
        <v>22</v>
      </c>
      <c r="K10" s="169"/>
      <c r="L10" s="169"/>
      <c r="M10" s="10"/>
      <c r="N10" s="10">
        <f t="shared" si="1"/>
        <v>22</v>
      </c>
      <c r="O10" s="10"/>
      <c r="P10" s="10"/>
    </row>
    <row r="11" spans="1:16" ht="36" customHeight="1">
      <c r="A11" s="39"/>
      <c r="B11" s="321" t="s">
        <v>303</v>
      </c>
      <c r="C11" s="322"/>
      <c r="D11" s="323"/>
      <c r="E11" s="10"/>
      <c r="F11" s="10"/>
      <c r="G11" s="10"/>
      <c r="H11" s="10"/>
      <c r="I11" s="10"/>
      <c r="J11" s="10">
        <v>6.4</v>
      </c>
      <c r="K11" s="169"/>
      <c r="L11" s="169"/>
      <c r="M11" s="10"/>
      <c r="N11" s="10">
        <f t="shared" si="1"/>
        <v>6.4</v>
      </c>
      <c r="O11" s="10"/>
      <c r="P11" s="10"/>
    </row>
    <row r="12" spans="1:16" ht="20.25">
      <c r="A12" s="39"/>
      <c r="B12" s="321" t="s">
        <v>304</v>
      </c>
      <c r="C12" s="322"/>
      <c r="D12" s="323"/>
      <c r="E12" s="10"/>
      <c r="F12" s="10"/>
      <c r="G12" s="10"/>
      <c r="H12" s="10"/>
      <c r="I12" s="10"/>
      <c r="J12" s="10">
        <v>7.2</v>
      </c>
      <c r="K12" s="169"/>
      <c r="L12" s="169"/>
      <c r="M12" s="10"/>
      <c r="N12" s="10">
        <f t="shared" si="1"/>
        <v>7.2</v>
      </c>
      <c r="O12" s="10"/>
      <c r="P12" s="10"/>
    </row>
    <row r="13" spans="1:16" ht="20.25">
      <c r="A13" s="39"/>
      <c r="B13" s="321" t="s">
        <v>305</v>
      </c>
      <c r="C13" s="322"/>
      <c r="D13" s="323"/>
      <c r="E13" s="10"/>
      <c r="F13" s="10"/>
      <c r="G13" s="10"/>
      <c r="H13" s="10"/>
      <c r="I13" s="10"/>
      <c r="J13" s="10"/>
      <c r="K13" s="169"/>
      <c r="L13" s="169">
        <v>8.1</v>
      </c>
      <c r="M13" s="10"/>
      <c r="N13" s="10">
        <f t="shared" si="1"/>
        <v>8.1</v>
      </c>
      <c r="O13" s="10"/>
      <c r="P13" s="10"/>
    </row>
    <row r="14" spans="1:16" ht="20.25">
      <c r="A14" s="39"/>
      <c r="B14" s="321" t="s">
        <v>306</v>
      </c>
      <c r="C14" s="322"/>
      <c r="D14" s="323"/>
      <c r="E14" s="10"/>
      <c r="F14" s="10"/>
      <c r="G14" s="10"/>
      <c r="H14" s="10"/>
      <c r="I14" s="10"/>
      <c r="J14" s="10">
        <v>78.7</v>
      </c>
      <c r="K14" s="169"/>
      <c r="L14" s="169"/>
      <c r="M14" s="10"/>
      <c r="N14" s="10">
        <f t="shared" si="1"/>
        <v>78.7</v>
      </c>
      <c r="O14" s="10"/>
      <c r="P14" s="10"/>
    </row>
    <row r="15" spans="1:16" ht="36" customHeight="1">
      <c r="A15" s="39"/>
      <c r="B15" s="321" t="s">
        <v>307</v>
      </c>
      <c r="C15" s="322"/>
      <c r="D15" s="323"/>
      <c r="E15" s="10"/>
      <c r="F15" s="10"/>
      <c r="G15" s="10"/>
      <c r="H15" s="10"/>
      <c r="I15" s="10"/>
      <c r="J15" s="10">
        <v>16.600000000000001</v>
      </c>
      <c r="K15" s="169"/>
      <c r="L15" s="169"/>
      <c r="M15" s="10"/>
      <c r="N15" s="10">
        <f t="shared" si="1"/>
        <v>16.600000000000001</v>
      </c>
      <c r="O15" s="10"/>
      <c r="P15" s="10"/>
    </row>
    <row r="16" spans="1:16" ht="20.25">
      <c r="A16" s="39"/>
      <c r="B16" s="321" t="s">
        <v>308</v>
      </c>
      <c r="C16" s="322"/>
      <c r="D16" s="323"/>
      <c r="E16" s="10"/>
      <c r="F16" s="10"/>
      <c r="G16" s="10"/>
      <c r="H16" s="10"/>
      <c r="I16" s="10"/>
      <c r="J16" s="10"/>
      <c r="K16" s="169"/>
      <c r="L16" s="169">
        <v>6</v>
      </c>
      <c r="M16" s="10"/>
      <c r="N16" s="10">
        <f t="shared" si="1"/>
        <v>6</v>
      </c>
      <c r="O16" s="10"/>
      <c r="P16" s="10"/>
    </row>
    <row r="17" spans="1:16" ht="20.25">
      <c r="A17" s="39"/>
      <c r="B17" s="321" t="s">
        <v>309</v>
      </c>
      <c r="C17" s="322"/>
      <c r="D17" s="323"/>
      <c r="E17" s="10"/>
      <c r="F17" s="10"/>
      <c r="G17" s="10"/>
      <c r="H17" s="10"/>
      <c r="I17" s="10"/>
      <c r="J17" s="10"/>
      <c r="K17" s="169"/>
      <c r="L17" s="169">
        <v>26.2</v>
      </c>
      <c r="M17" s="10"/>
      <c r="N17" s="10">
        <f t="shared" si="1"/>
        <v>26.2</v>
      </c>
      <c r="O17" s="10"/>
      <c r="P17" s="10"/>
    </row>
    <row r="18" spans="1:16" ht="20.25">
      <c r="A18" s="39"/>
      <c r="B18" s="321" t="s">
        <v>310</v>
      </c>
      <c r="C18" s="322"/>
      <c r="D18" s="323"/>
      <c r="E18" s="10"/>
      <c r="F18" s="10"/>
      <c r="G18" s="10"/>
      <c r="H18" s="10"/>
      <c r="I18" s="10"/>
      <c r="J18" s="10"/>
      <c r="K18" s="169"/>
      <c r="L18" s="169">
        <f>42.8+260</f>
        <v>302.8</v>
      </c>
      <c r="M18" s="10"/>
      <c r="N18" s="10">
        <f t="shared" si="1"/>
        <v>302.8</v>
      </c>
      <c r="O18" s="10"/>
      <c r="P18" s="10"/>
    </row>
    <row r="19" spans="1:16" ht="36" customHeight="1">
      <c r="A19" s="39"/>
      <c r="B19" s="321" t="s">
        <v>311</v>
      </c>
      <c r="C19" s="322"/>
      <c r="D19" s="323"/>
      <c r="E19" s="10"/>
      <c r="F19" s="10"/>
      <c r="G19" s="10"/>
      <c r="H19" s="10"/>
      <c r="I19" s="10"/>
      <c r="J19" s="10"/>
      <c r="K19" s="169"/>
      <c r="L19" s="169">
        <v>28.2</v>
      </c>
      <c r="M19" s="10"/>
      <c r="N19" s="10">
        <f t="shared" si="1"/>
        <v>28.2</v>
      </c>
      <c r="O19" s="10"/>
      <c r="P19" s="10"/>
    </row>
    <row r="20" spans="1:16" ht="20.25">
      <c r="A20" s="39"/>
      <c r="B20" s="321" t="s">
        <v>312</v>
      </c>
      <c r="C20" s="322"/>
      <c r="D20" s="323"/>
      <c r="E20" s="10"/>
      <c r="F20" s="10"/>
      <c r="G20" s="10"/>
      <c r="H20" s="10">
        <v>17.899999999999999</v>
      </c>
      <c r="I20" s="10"/>
      <c r="J20" s="10"/>
      <c r="K20" s="169"/>
      <c r="L20" s="169"/>
      <c r="M20" s="10"/>
      <c r="N20" s="10">
        <f t="shared" si="1"/>
        <v>17.899999999999999</v>
      </c>
      <c r="O20" s="10"/>
      <c r="P20" s="10"/>
    </row>
    <row r="21" spans="1:16" ht="20.25">
      <c r="A21" s="39"/>
      <c r="B21" s="305" t="s">
        <v>524</v>
      </c>
      <c r="C21" s="306"/>
      <c r="D21" s="307"/>
      <c r="E21" s="10"/>
      <c r="F21" s="10"/>
      <c r="G21" s="10"/>
      <c r="H21" s="10"/>
      <c r="I21" s="10"/>
      <c r="J21" s="10"/>
      <c r="K21" s="169"/>
      <c r="L21" s="169">
        <v>7.5</v>
      </c>
      <c r="M21" s="10"/>
      <c r="N21" s="10">
        <f t="shared" si="1"/>
        <v>7.5</v>
      </c>
      <c r="O21" s="10"/>
      <c r="P21" s="10"/>
    </row>
    <row r="22" spans="1:16" ht="20.25">
      <c r="A22" s="39"/>
      <c r="B22" s="305" t="s">
        <v>525</v>
      </c>
      <c r="C22" s="306"/>
      <c r="D22" s="307"/>
      <c r="E22" s="10"/>
      <c r="F22" s="10"/>
      <c r="G22" s="10"/>
      <c r="H22" s="10"/>
      <c r="I22" s="10"/>
      <c r="J22" s="10"/>
      <c r="K22" s="169"/>
      <c r="L22" s="169">
        <v>13.6</v>
      </c>
      <c r="M22" s="10"/>
      <c r="N22" s="10">
        <f t="shared" si="1"/>
        <v>13.6</v>
      </c>
      <c r="O22" s="10"/>
      <c r="P22" s="10"/>
    </row>
    <row r="23" spans="1:16" ht="20.25">
      <c r="A23" s="39"/>
      <c r="B23" s="305" t="s">
        <v>526</v>
      </c>
      <c r="C23" s="306"/>
      <c r="D23" s="307"/>
      <c r="E23" s="10"/>
      <c r="F23" s="10"/>
      <c r="G23" s="10"/>
      <c r="H23" s="10"/>
      <c r="I23" s="10"/>
      <c r="J23" s="10"/>
      <c r="K23" s="169"/>
      <c r="L23" s="169">
        <v>58.5</v>
      </c>
      <c r="M23" s="10"/>
      <c r="N23" s="10">
        <f t="shared" si="1"/>
        <v>58.5</v>
      </c>
      <c r="O23" s="10"/>
      <c r="P23" s="10"/>
    </row>
    <row r="24" spans="1:16" ht="72" customHeight="1">
      <c r="A24" s="11">
        <v>2</v>
      </c>
      <c r="B24" s="318" t="s">
        <v>96</v>
      </c>
      <c r="C24" s="319"/>
      <c r="D24" s="320"/>
      <c r="E24" s="1">
        <f>SUM(E25:E67)</f>
        <v>0</v>
      </c>
      <c r="F24" s="1">
        <f t="shared" ref="F24:L24" si="2">SUM(F25:F67)</f>
        <v>0</v>
      </c>
      <c r="G24" s="1">
        <f t="shared" si="2"/>
        <v>0</v>
      </c>
      <c r="H24" s="1">
        <f t="shared" si="2"/>
        <v>2.1</v>
      </c>
      <c r="I24" s="1">
        <f t="shared" si="2"/>
        <v>0</v>
      </c>
      <c r="J24" s="1">
        <f t="shared" si="2"/>
        <v>114.89999999999999</v>
      </c>
      <c r="K24" s="1">
        <f t="shared" si="2"/>
        <v>0</v>
      </c>
      <c r="L24" s="1">
        <f t="shared" si="2"/>
        <v>90.8</v>
      </c>
      <c r="M24" s="1"/>
      <c r="N24" s="1">
        <f>SUM(N25:N67)</f>
        <v>207.79999999999995</v>
      </c>
      <c r="O24" s="1">
        <f>N24-M24</f>
        <v>207.79999999999995</v>
      </c>
      <c r="P24" s="1"/>
    </row>
    <row r="25" spans="1:16" ht="42" customHeight="1">
      <c r="A25" s="39"/>
      <c r="B25" s="302" t="s">
        <v>316</v>
      </c>
      <c r="C25" s="303"/>
      <c r="D25" s="304"/>
      <c r="E25" s="10"/>
      <c r="F25" s="10"/>
      <c r="G25" s="10"/>
      <c r="H25" s="10"/>
      <c r="I25" s="10"/>
      <c r="J25" s="10"/>
      <c r="K25" s="169"/>
      <c r="L25" s="169">
        <v>5.8</v>
      </c>
      <c r="M25" s="10"/>
      <c r="N25" s="10">
        <f>F25+H25+J25+L25</f>
        <v>5.8</v>
      </c>
      <c r="O25" s="10"/>
      <c r="P25" s="10"/>
    </row>
    <row r="26" spans="1:16" ht="40.5" customHeight="1">
      <c r="A26" s="39"/>
      <c r="B26" s="302" t="s">
        <v>317</v>
      </c>
      <c r="C26" s="303"/>
      <c r="D26" s="304"/>
      <c r="E26" s="10"/>
      <c r="F26" s="10"/>
      <c r="G26" s="10"/>
      <c r="H26" s="10"/>
      <c r="I26" s="10"/>
      <c r="J26" s="10">
        <v>0.4</v>
      </c>
      <c r="K26" s="169"/>
      <c r="L26" s="169"/>
      <c r="M26" s="10"/>
      <c r="N26" s="10">
        <f t="shared" ref="N26:N67" si="3">F26+H26+J26+L26</f>
        <v>0.4</v>
      </c>
      <c r="O26" s="10"/>
      <c r="P26" s="10"/>
    </row>
    <row r="27" spans="1:16" ht="20.25">
      <c r="A27" s="39"/>
      <c r="B27" s="302" t="s">
        <v>318</v>
      </c>
      <c r="C27" s="303"/>
      <c r="D27" s="304"/>
      <c r="E27" s="10"/>
      <c r="F27" s="10"/>
      <c r="G27" s="10"/>
      <c r="H27" s="10"/>
      <c r="I27" s="10"/>
      <c r="J27" s="10">
        <v>5.2</v>
      </c>
      <c r="K27" s="169"/>
      <c r="L27" s="169"/>
      <c r="M27" s="10"/>
      <c r="N27" s="10">
        <f t="shared" si="3"/>
        <v>5.2</v>
      </c>
      <c r="O27" s="10"/>
      <c r="P27" s="10"/>
    </row>
    <row r="28" spans="1:16" ht="64.5" customHeight="1">
      <c r="A28" s="39"/>
      <c r="B28" s="302" t="s">
        <v>319</v>
      </c>
      <c r="C28" s="303"/>
      <c r="D28" s="304"/>
      <c r="E28" s="10"/>
      <c r="F28" s="10"/>
      <c r="G28" s="10"/>
      <c r="H28" s="10"/>
      <c r="I28" s="10"/>
      <c r="J28" s="10">
        <v>0.7</v>
      </c>
      <c r="K28" s="169"/>
      <c r="L28" s="169"/>
      <c r="M28" s="10"/>
      <c r="N28" s="10">
        <f t="shared" si="3"/>
        <v>0.7</v>
      </c>
      <c r="O28" s="10"/>
      <c r="P28" s="10"/>
    </row>
    <row r="29" spans="1:16" ht="20.25">
      <c r="A29" s="39"/>
      <c r="B29" s="302" t="s">
        <v>320</v>
      </c>
      <c r="C29" s="303"/>
      <c r="D29" s="304"/>
      <c r="E29" s="10"/>
      <c r="F29" s="10"/>
      <c r="G29" s="10"/>
      <c r="H29" s="10"/>
      <c r="I29" s="10"/>
      <c r="J29" s="10">
        <v>5</v>
      </c>
      <c r="K29" s="169"/>
      <c r="L29" s="169"/>
      <c r="M29" s="10"/>
      <c r="N29" s="10">
        <f t="shared" si="3"/>
        <v>5</v>
      </c>
      <c r="O29" s="10"/>
      <c r="P29" s="10"/>
    </row>
    <row r="30" spans="1:16" ht="20.25">
      <c r="A30" s="39"/>
      <c r="B30" s="302" t="s">
        <v>321</v>
      </c>
      <c r="C30" s="303"/>
      <c r="D30" s="304"/>
      <c r="E30" s="10"/>
      <c r="F30" s="10"/>
      <c r="G30" s="10"/>
      <c r="H30" s="10"/>
      <c r="I30" s="10"/>
      <c r="J30" s="10">
        <v>25.2</v>
      </c>
      <c r="K30" s="169"/>
      <c r="L30" s="169"/>
      <c r="M30" s="10"/>
      <c r="N30" s="10">
        <f t="shared" si="3"/>
        <v>25.2</v>
      </c>
      <c r="O30" s="10"/>
      <c r="P30" s="10"/>
    </row>
    <row r="31" spans="1:16" ht="20.25">
      <c r="A31" s="39"/>
      <c r="B31" s="302" t="s">
        <v>322</v>
      </c>
      <c r="C31" s="303"/>
      <c r="D31" s="304"/>
      <c r="E31" s="10"/>
      <c r="F31" s="10"/>
      <c r="G31" s="10"/>
      <c r="H31" s="10"/>
      <c r="I31" s="10"/>
      <c r="J31" s="10">
        <v>16.8</v>
      </c>
      <c r="K31" s="169"/>
      <c r="L31" s="169"/>
      <c r="M31" s="10"/>
      <c r="N31" s="10">
        <f t="shared" si="3"/>
        <v>16.8</v>
      </c>
      <c r="O31" s="10"/>
      <c r="P31" s="10"/>
    </row>
    <row r="32" spans="1:16" ht="20.25">
      <c r="A32" s="39"/>
      <c r="B32" s="302" t="s">
        <v>323</v>
      </c>
      <c r="C32" s="303"/>
      <c r="D32" s="304"/>
      <c r="E32" s="10"/>
      <c r="F32" s="10"/>
      <c r="G32" s="10"/>
      <c r="H32" s="10"/>
      <c r="I32" s="10"/>
      <c r="J32" s="10">
        <v>1.3</v>
      </c>
      <c r="K32" s="169"/>
      <c r="L32" s="169"/>
      <c r="M32" s="10"/>
      <c r="N32" s="10">
        <f t="shared" si="3"/>
        <v>1.3</v>
      </c>
      <c r="O32" s="10"/>
      <c r="P32" s="10"/>
    </row>
    <row r="33" spans="1:16" ht="20.25">
      <c r="A33" s="39"/>
      <c r="B33" s="302" t="s">
        <v>324</v>
      </c>
      <c r="C33" s="303"/>
      <c r="D33" s="304"/>
      <c r="E33" s="10"/>
      <c r="F33" s="10"/>
      <c r="G33" s="10"/>
      <c r="H33" s="10"/>
      <c r="I33" s="10"/>
      <c r="J33" s="10">
        <v>4.9000000000000004</v>
      </c>
      <c r="K33" s="169"/>
      <c r="L33" s="169"/>
      <c r="M33" s="10"/>
      <c r="N33" s="10">
        <f t="shared" si="3"/>
        <v>4.9000000000000004</v>
      </c>
      <c r="O33" s="10"/>
      <c r="P33" s="10"/>
    </row>
    <row r="34" spans="1:16" ht="20.25">
      <c r="A34" s="39"/>
      <c r="B34" s="302" t="s">
        <v>325</v>
      </c>
      <c r="C34" s="303"/>
      <c r="D34" s="304"/>
      <c r="E34" s="10"/>
      <c r="F34" s="10"/>
      <c r="G34" s="10"/>
      <c r="H34" s="10"/>
      <c r="I34" s="10"/>
      <c r="J34" s="10">
        <v>2.2999999999999998</v>
      </c>
      <c r="K34" s="169"/>
      <c r="L34" s="169"/>
      <c r="M34" s="10"/>
      <c r="N34" s="10">
        <f t="shared" si="3"/>
        <v>2.2999999999999998</v>
      </c>
      <c r="O34" s="10"/>
      <c r="P34" s="10"/>
    </row>
    <row r="35" spans="1:16" ht="20.25">
      <c r="A35" s="39"/>
      <c r="B35" s="302" t="s">
        <v>326</v>
      </c>
      <c r="C35" s="303"/>
      <c r="D35" s="304"/>
      <c r="E35" s="10"/>
      <c r="F35" s="10"/>
      <c r="G35" s="10"/>
      <c r="H35" s="10"/>
      <c r="I35" s="10"/>
      <c r="J35" s="10">
        <v>0.4</v>
      </c>
      <c r="K35" s="169"/>
      <c r="L35" s="169"/>
      <c r="M35" s="10"/>
      <c r="N35" s="10">
        <f t="shared" si="3"/>
        <v>0.4</v>
      </c>
      <c r="O35" s="10"/>
      <c r="P35" s="10"/>
    </row>
    <row r="36" spans="1:16" ht="20.25">
      <c r="A36" s="39"/>
      <c r="B36" s="302" t="s">
        <v>327</v>
      </c>
      <c r="C36" s="303"/>
      <c r="D36" s="304"/>
      <c r="E36" s="10"/>
      <c r="F36" s="10"/>
      <c r="G36" s="10"/>
      <c r="H36" s="10"/>
      <c r="I36" s="10"/>
      <c r="J36" s="10">
        <v>2.9</v>
      </c>
      <c r="K36" s="169"/>
      <c r="L36" s="169"/>
      <c r="M36" s="10"/>
      <c r="N36" s="10">
        <f t="shared" si="3"/>
        <v>2.9</v>
      </c>
      <c r="O36" s="10"/>
      <c r="P36" s="10"/>
    </row>
    <row r="37" spans="1:16" ht="36" customHeight="1">
      <c r="A37" s="39"/>
      <c r="B37" s="302" t="s">
        <v>328</v>
      </c>
      <c r="C37" s="303"/>
      <c r="D37" s="304"/>
      <c r="E37" s="10"/>
      <c r="F37" s="10"/>
      <c r="G37" s="10"/>
      <c r="H37" s="10"/>
      <c r="I37" s="10"/>
      <c r="J37" s="10">
        <v>4.8</v>
      </c>
      <c r="K37" s="169"/>
      <c r="L37" s="169"/>
      <c r="M37" s="10"/>
      <c r="N37" s="10">
        <f t="shared" si="3"/>
        <v>4.8</v>
      </c>
      <c r="O37" s="10"/>
      <c r="P37" s="10"/>
    </row>
    <row r="38" spans="1:16" ht="20.25">
      <c r="A38" s="39"/>
      <c r="B38" s="302" t="s">
        <v>329</v>
      </c>
      <c r="C38" s="303"/>
      <c r="D38" s="304"/>
      <c r="E38" s="10"/>
      <c r="F38" s="10"/>
      <c r="G38" s="10"/>
      <c r="H38" s="10"/>
      <c r="I38" s="10"/>
      <c r="J38" s="10">
        <v>6.2</v>
      </c>
      <c r="K38" s="169"/>
      <c r="L38" s="169"/>
      <c r="M38" s="10"/>
      <c r="N38" s="10">
        <f t="shared" si="3"/>
        <v>6.2</v>
      </c>
      <c r="O38" s="10"/>
      <c r="P38" s="10"/>
    </row>
    <row r="39" spans="1:16" ht="20.25">
      <c r="A39" s="39"/>
      <c r="B39" s="302" t="s">
        <v>330</v>
      </c>
      <c r="C39" s="303"/>
      <c r="D39" s="304"/>
      <c r="E39" s="10"/>
      <c r="F39" s="10"/>
      <c r="G39" s="10"/>
      <c r="H39" s="10"/>
      <c r="I39" s="10"/>
      <c r="J39" s="10">
        <v>1.5</v>
      </c>
      <c r="K39" s="169"/>
      <c r="L39" s="169"/>
      <c r="M39" s="10"/>
      <c r="N39" s="10">
        <f t="shared" si="3"/>
        <v>1.5</v>
      </c>
      <c r="O39" s="10"/>
      <c r="P39" s="10"/>
    </row>
    <row r="40" spans="1:16" ht="20.25">
      <c r="A40" s="39"/>
      <c r="B40" s="302" t="s">
        <v>357</v>
      </c>
      <c r="C40" s="303"/>
      <c r="D40" s="304"/>
      <c r="E40" s="10"/>
      <c r="F40" s="10"/>
      <c r="G40" s="10"/>
      <c r="H40" s="10"/>
      <c r="I40" s="10"/>
      <c r="J40" s="10">
        <v>9.9</v>
      </c>
      <c r="K40" s="169"/>
      <c r="L40" s="169"/>
      <c r="M40" s="10"/>
      <c r="N40" s="10">
        <f t="shared" si="3"/>
        <v>9.9</v>
      </c>
      <c r="O40" s="10"/>
      <c r="P40" s="10"/>
    </row>
    <row r="41" spans="1:16" ht="20.25">
      <c r="A41" s="39"/>
      <c r="B41" s="302" t="s">
        <v>332</v>
      </c>
      <c r="C41" s="303"/>
      <c r="D41" s="304"/>
      <c r="E41" s="10"/>
      <c r="F41" s="10"/>
      <c r="G41" s="10"/>
      <c r="H41" s="10"/>
      <c r="I41" s="10"/>
      <c r="J41" s="10">
        <v>4.5</v>
      </c>
      <c r="K41" s="169"/>
      <c r="L41" s="169"/>
      <c r="M41" s="10"/>
      <c r="N41" s="10">
        <f t="shared" si="3"/>
        <v>4.5</v>
      </c>
      <c r="O41" s="10"/>
      <c r="P41" s="10"/>
    </row>
    <row r="42" spans="1:16" ht="36" customHeight="1">
      <c r="A42" s="39"/>
      <c r="B42" s="302" t="s">
        <v>333</v>
      </c>
      <c r="C42" s="303"/>
      <c r="D42" s="304"/>
      <c r="E42" s="10"/>
      <c r="F42" s="10"/>
      <c r="G42" s="10"/>
      <c r="H42" s="10"/>
      <c r="I42" s="10"/>
      <c r="J42" s="10"/>
      <c r="K42" s="169"/>
      <c r="L42" s="169">
        <v>3.1</v>
      </c>
      <c r="M42" s="10"/>
      <c r="N42" s="10">
        <f t="shared" si="3"/>
        <v>3.1</v>
      </c>
      <c r="O42" s="10"/>
      <c r="P42" s="10"/>
    </row>
    <row r="43" spans="1:16" ht="20.25">
      <c r="A43" s="39"/>
      <c r="B43" s="302" t="s">
        <v>334</v>
      </c>
      <c r="C43" s="303"/>
      <c r="D43" s="304"/>
      <c r="E43" s="10"/>
      <c r="F43" s="10"/>
      <c r="G43" s="10"/>
      <c r="H43" s="10"/>
      <c r="I43" s="10"/>
      <c r="J43" s="10"/>
      <c r="K43" s="169"/>
      <c r="L43" s="169">
        <v>1.6</v>
      </c>
      <c r="M43" s="10"/>
      <c r="N43" s="10">
        <f t="shared" si="3"/>
        <v>1.6</v>
      </c>
      <c r="O43" s="10"/>
      <c r="P43" s="10"/>
    </row>
    <row r="44" spans="1:16" ht="20.25">
      <c r="A44" s="39"/>
      <c r="B44" s="302" t="s">
        <v>335</v>
      </c>
      <c r="C44" s="303"/>
      <c r="D44" s="304"/>
      <c r="E44" s="10"/>
      <c r="F44" s="10"/>
      <c r="G44" s="10"/>
      <c r="H44" s="10"/>
      <c r="I44" s="10"/>
      <c r="J44" s="10"/>
      <c r="K44" s="169"/>
      <c r="L44" s="169">
        <v>4.8</v>
      </c>
      <c r="M44" s="10"/>
      <c r="N44" s="10">
        <f t="shared" si="3"/>
        <v>4.8</v>
      </c>
      <c r="O44" s="10"/>
      <c r="P44" s="10"/>
    </row>
    <row r="45" spans="1:16" ht="20.25">
      <c r="A45" s="39"/>
      <c r="B45" s="302" t="s">
        <v>336</v>
      </c>
      <c r="C45" s="303"/>
      <c r="D45" s="304"/>
      <c r="E45" s="10"/>
      <c r="F45" s="10"/>
      <c r="G45" s="10"/>
      <c r="H45" s="10"/>
      <c r="I45" s="10"/>
      <c r="J45" s="10"/>
      <c r="K45" s="169"/>
      <c r="L45" s="169">
        <v>0.8</v>
      </c>
      <c r="M45" s="10"/>
      <c r="N45" s="10">
        <f t="shared" si="3"/>
        <v>0.8</v>
      </c>
      <c r="O45" s="10"/>
      <c r="P45" s="10"/>
    </row>
    <row r="46" spans="1:16" ht="20.25">
      <c r="A46" s="39"/>
      <c r="B46" s="302" t="s">
        <v>337</v>
      </c>
      <c r="C46" s="303"/>
      <c r="D46" s="304"/>
      <c r="E46" s="10"/>
      <c r="F46" s="10"/>
      <c r="G46" s="10"/>
      <c r="H46" s="10"/>
      <c r="I46" s="10"/>
      <c r="J46" s="10"/>
      <c r="K46" s="169"/>
      <c r="L46" s="169">
        <v>1.2</v>
      </c>
      <c r="M46" s="10"/>
      <c r="N46" s="10">
        <f t="shared" si="3"/>
        <v>1.2</v>
      </c>
      <c r="O46" s="10"/>
      <c r="P46" s="10"/>
    </row>
    <row r="47" spans="1:16" ht="36" customHeight="1">
      <c r="A47" s="39"/>
      <c r="B47" s="302" t="s">
        <v>338</v>
      </c>
      <c r="C47" s="303"/>
      <c r="D47" s="304"/>
      <c r="E47" s="10"/>
      <c r="F47" s="10"/>
      <c r="G47" s="10"/>
      <c r="H47" s="10"/>
      <c r="I47" s="10"/>
      <c r="J47" s="10"/>
      <c r="K47" s="169"/>
      <c r="L47" s="169">
        <v>0.6</v>
      </c>
      <c r="M47" s="10"/>
      <c r="N47" s="10">
        <f t="shared" si="3"/>
        <v>0.6</v>
      </c>
      <c r="O47" s="10"/>
      <c r="P47" s="10"/>
    </row>
    <row r="48" spans="1:16" ht="36" customHeight="1">
      <c r="A48" s="39"/>
      <c r="B48" s="302" t="s">
        <v>339</v>
      </c>
      <c r="C48" s="303"/>
      <c r="D48" s="304"/>
      <c r="E48" s="10"/>
      <c r="F48" s="10"/>
      <c r="G48" s="10"/>
      <c r="H48" s="10"/>
      <c r="I48" s="10"/>
      <c r="J48" s="10"/>
      <c r="K48" s="169"/>
      <c r="L48" s="169">
        <v>1.7</v>
      </c>
      <c r="M48" s="10"/>
      <c r="N48" s="10">
        <f t="shared" si="3"/>
        <v>1.7</v>
      </c>
      <c r="O48" s="10"/>
      <c r="P48" s="10"/>
    </row>
    <row r="49" spans="1:16" ht="20.25">
      <c r="A49" s="39"/>
      <c r="B49" s="302" t="s">
        <v>340</v>
      </c>
      <c r="C49" s="303"/>
      <c r="D49" s="304"/>
      <c r="E49" s="10"/>
      <c r="F49" s="10"/>
      <c r="G49" s="10"/>
      <c r="H49" s="10"/>
      <c r="I49" s="10"/>
      <c r="J49" s="10"/>
      <c r="K49" s="169"/>
      <c r="L49" s="169">
        <v>5.7</v>
      </c>
      <c r="M49" s="10"/>
      <c r="N49" s="10">
        <f t="shared" si="3"/>
        <v>5.7</v>
      </c>
      <c r="O49" s="10"/>
      <c r="P49" s="10"/>
    </row>
    <row r="50" spans="1:16" ht="20.25">
      <c r="A50" s="39"/>
      <c r="B50" s="302" t="s">
        <v>341</v>
      </c>
      <c r="C50" s="303"/>
      <c r="D50" s="304"/>
      <c r="E50" s="10"/>
      <c r="F50" s="10"/>
      <c r="G50" s="10"/>
      <c r="H50" s="10"/>
      <c r="I50" s="10"/>
      <c r="J50" s="10"/>
      <c r="K50" s="169"/>
      <c r="L50" s="169">
        <v>5.5</v>
      </c>
      <c r="M50" s="10"/>
      <c r="N50" s="10">
        <f t="shared" si="3"/>
        <v>5.5</v>
      </c>
      <c r="O50" s="10"/>
      <c r="P50" s="10"/>
    </row>
    <row r="51" spans="1:16" ht="20.25">
      <c r="A51" s="39"/>
      <c r="B51" s="302" t="s">
        <v>342</v>
      </c>
      <c r="C51" s="303"/>
      <c r="D51" s="304"/>
      <c r="E51" s="10"/>
      <c r="F51" s="10"/>
      <c r="G51" s="10"/>
      <c r="H51" s="10"/>
      <c r="I51" s="10"/>
      <c r="J51" s="10"/>
      <c r="K51" s="169"/>
      <c r="L51" s="169">
        <v>1</v>
      </c>
      <c r="M51" s="10"/>
      <c r="N51" s="10">
        <f t="shared" si="3"/>
        <v>1</v>
      </c>
      <c r="O51" s="10"/>
      <c r="P51" s="10"/>
    </row>
    <row r="52" spans="1:16" ht="20.25">
      <c r="A52" s="39"/>
      <c r="B52" s="302" t="s">
        <v>343</v>
      </c>
      <c r="C52" s="303"/>
      <c r="D52" s="304"/>
      <c r="E52" s="10"/>
      <c r="F52" s="10"/>
      <c r="G52" s="10"/>
      <c r="H52" s="10"/>
      <c r="I52" s="10"/>
      <c r="J52" s="10"/>
      <c r="K52" s="169"/>
      <c r="L52" s="169">
        <v>2.2999999999999998</v>
      </c>
      <c r="M52" s="10"/>
      <c r="N52" s="10">
        <f t="shared" si="3"/>
        <v>2.2999999999999998</v>
      </c>
      <c r="O52" s="10"/>
      <c r="P52" s="10"/>
    </row>
    <row r="53" spans="1:16" ht="20.25">
      <c r="A53" s="39"/>
      <c r="B53" s="302" t="s">
        <v>344</v>
      </c>
      <c r="C53" s="303"/>
      <c r="D53" s="304"/>
      <c r="E53" s="10"/>
      <c r="F53" s="10"/>
      <c r="G53" s="10"/>
      <c r="H53" s="10"/>
      <c r="I53" s="10"/>
      <c r="J53" s="10"/>
      <c r="K53" s="169"/>
      <c r="L53" s="169">
        <v>0.7</v>
      </c>
      <c r="M53" s="10"/>
      <c r="N53" s="10">
        <f t="shared" si="3"/>
        <v>0.7</v>
      </c>
      <c r="O53" s="10"/>
      <c r="P53" s="10"/>
    </row>
    <row r="54" spans="1:16" ht="20.25">
      <c r="A54" s="39"/>
      <c r="B54" s="302" t="s">
        <v>345</v>
      </c>
      <c r="C54" s="303"/>
      <c r="D54" s="304"/>
      <c r="E54" s="10"/>
      <c r="F54" s="10"/>
      <c r="G54" s="10"/>
      <c r="H54" s="10"/>
      <c r="I54" s="10"/>
      <c r="J54" s="10"/>
      <c r="K54" s="169"/>
      <c r="L54" s="169">
        <v>0.4</v>
      </c>
      <c r="M54" s="10"/>
      <c r="N54" s="10">
        <f t="shared" si="3"/>
        <v>0.4</v>
      </c>
      <c r="O54" s="10"/>
      <c r="P54" s="10"/>
    </row>
    <row r="55" spans="1:16" ht="20.25">
      <c r="A55" s="39"/>
      <c r="B55" s="302" t="s">
        <v>346</v>
      </c>
      <c r="C55" s="303"/>
      <c r="D55" s="304"/>
      <c r="E55" s="10"/>
      <c r="F55" s="10"/>
      <c r="G55" s="10"/>
      <c r="H55" s="10"/>
      <c r="I55" s="10"/>
      <c r="J55" s="10"/>
      <c r="K55" s="169"/>
      <c r="L55" s="169">
        <v>1.5</v>
      </c>
      <c r="M55" s="10"/>
      <c r="N55" s="10">
        <f t="shared" si="3"/>
        <v>1.5</v>
      </c>
      <c r="O55" s="10"/>
      <c r="P55" s="10"/>
    </row>
    <row r="56" spans="1:16" ht="20.25">
      <c r="A56" s="39"/>
      <c r="B56" s="302" t="s">
        <v>347</v>
      </c>
      <c r="C56" s="303"/>
      <c r="D56" s="304"/>
      <c r="E56" s="10"/>
      <c r="F56" s="10"/>
      <c r="G56" s="10"/>
      <c r="H56" s="10"/>
      <c r="I56" s="10"/>
      <c r="J56" s="10"/>
      <c r="K56" s="169"/>
      <c r="L56" s="169">
        <v>4.5</v>
      </c>
      <c r="M56" s="10"/>
      <c r="N56" s="10">
        <f t="shared" si="3"/>
        <v>4.5</v>
      </c>
      <c r="O56" s="10"/>
      <c r="P56" s="10"/>
    </row>
    <row r="57" spans="1:16" ht="36" customHeight="1">
      <c r="A57" s="39"/>
      <c r="B57" s="302" t="s">
        <v>348</v>
      </c>
      <c r="C57" s="303"/>
      <c r="D57" s="304"/>
      <c r="E57" s="10"/>
      <c r="F57" s="10"/>
      <c r="G57" s="10"/>
      <c r="H57" s="10"/>
      <c r="I57" s="10"/>
      <c r="J57" s="10"/>
      <c r="K57" s="169"/>
      <c r="L57" s="169">
        <v>10.7</v>
      </c>
      <c r="M57" s="10"/>
      <c r="N57" s="10">
        <f t="shared" si="3"/>
        <v>10.7</v>
      </c>
      <c r="O57" s="10"/>
      <c r="P57" s="10"/>
    </row>
    <row r="58" spans="1:16" ht="20.25">
      <c r="A58" s="39"/>
      <c r="B58" s="302" t="s">
        <v>353</v>
      </c>
      <c r="C58" s="303"/>
      <c r="D58" s="304"/>
      <c r="E58" s="10"/>
      <c r="F58" s="10"/>
      <c r="G58" s="10"/>
      <c r="H58" s="10"/>
      <c r="I58" s="10"/>
      <c r="J58" s="10"/>
      <c r="K58" s="169"/>
      <c r="L58" s="169">
        <v>11.6</v>
      </c>
      <c r="M58" s="10"/>
      <c r="N58" s="10">
        <f t="shared" si="3"/>
        <v>11.6</v>
      </c>
      <c r="O58" s="10"/>
      <c r="P58" s="10"/>
    </row>
    <row r="59" spans="1:16" ht="20.25">
      <c r="A59" s="39"/>
      <c r="B59" s="302" t="s">
        <v>349</v>
      </c>
      <c r="C59" s="303"/>
      <c r="D59" s="304"/>
      <c r="E59" s="10"/>
      <c r="F59" s="10"/>
      <c r="G59" s="10"/>
      <c r="H59" s="10"/>
      <c r="I59" s="10"/>
      <c r="J59" s="10"/>
      <c r="K59" s="169"/>
      <c r="L59" s="169">
        <v>8</v>
      </c>
      <c r="M59" s="10"/>
      <c r="N59" s="10">
        <f t="shared" si="3"/>
        <v>8</v>
      </c>
      <c r="O59" s="10"/>
      <c r="P59" s="10"/>
    </row>
    <row r="60" spans="1:16" ht="20.25">
      <c r="A60" s="39"/>
      <c r="B60" s="302" t="s">
        <v>350</v>
      </c>
      <c r="C60" s="303"/>
      <c r="D60" s="304"/>
      <c r="E60" s="10"/>
      <c r="F60" s="10"/>
      <c r="G60" s="10"/>
      <c r="H60" s="10"/>
      <c r="I60" s="10"/>
      <c r="J60" s="10"/>
      <c r="K60" s="169"/>
      <c r="L60" s="169">
        <v>4.5999999999999996</v>
      </c>
      <c r="M60" s="10"/>
      <c r="N60" s="10">
        <f t="shared" si="3"/>
        <v>4.5999999999999996</v>
      </c>
      <c r="O60" s="10"/>
      <c r="P60" s="10"/>
    </row>
    <row r="61" spans="1:16" ht="20.25">
      <c r="A61" s="39"/>
      <c r="B61" s="302" t="s">
        <v>351</v>
      </c>
      <c r="C61" s="303"/>
      <c r="D61" s="304"/>
      <c r="E61" s="10"/>
      <c r="F61" s="10"/>
      <c r="G61" s="10"/>
      <c r="H61" s="10">
        <v>2.1</v>
      </c>
      <c r="I61" s="10"/>
      <c r="J61" s="10"/>
      <c r="K61" s="169"/>
      <c r="L61" s="169"/>
      <c r="M61" s="10"/>
      <c r="N61" s="10">
        <f t="shared" si="3"/>
        <v>2.1</v>
      </c>
      <c r="O61" s="10"/>
      <c r="P61" s="10"/>
    </row>
    <row r="62" spans="1:16" ht="20.25">
      <c r="A62" s="39"/>
      <c r="B62" s="305" t="s">
        <v>352</v>
      </c>
      <c r="C62" s="306"/>
      <c r="D62" s="307"/>
      <c r="E62" s="10"/>
      <c r="F62" s="10"/>
      <c r="G62" s="10"/>
      <c r="H62" s="10"/>
      <c r="I62" s="10"/>
      <c r="J62" s="10"/>
      <c r="K62" s="169"/>
      <c r="L62" s="169">
        <v>1.4</v>
      </c>
      <c r="M62" s="10"/>
      <c r="N62" s="10">
        <f t="shared" si="3"/>
        <v>1.4</v>
      </c>
      <c r="O62" s="10"/>
      <c r="P62" s="10"/>
    </row>
    <row r="63" spans="1:16" ht="20.25">
      <c r="A63" s="39"/>
      <c r="B63" s="305" t="s">
        <v>518</v>
      </c>
      <c r="C63" s="306"/>
      <c r="D63" s="307"/>
      <c r="E63" s="10"/>
      <c r="F63" s="10"/>
      <c r="G63" s="10"/>
      <c r="H63" s="10"/>
      <c r="I63" s="10"/>
      <c r="J63" s="10"/>
      <c r="K63" s="169"/>
      <c r="L63" s="169">
        <v>5.6</v>
      </c>
      <c r="M63" s="10"/>
      <c r="N63" s="10">
        <f t="shared" si="3"/>
        <v>5.6</v>
      </c>
      <c r="O63" s="10"/>
      <c r="P63" s="10"/>
    </row>
    <row r="64" spans="1:16" ht="20.25">
      <c r="A64" s="39"/>
      <c r="B64" s="305" t="s">
        <v>519</v>
      </c>
      <c r="C64" s="306"/>
      <c r="D64" s="307"/>
      <c r="E64" s="10"/>
      <c r="F64" s="10"/>
      <c r="G64" s="10"/>
      <c r="H64" s="10"/>
      <c r="I64" s="10"/>
      <c r="J64" s="10"/>
      <c r="K64" s="169"/>
      <c r="L64" s="169">
        <v>2.7</v>
      </c>
      <c r="M64" s="10"/>
      <c r="N64" s="10">
        <f t="shared" si="3"/>
        <v>2.7</v>
      </c>
      <c r="O64" s="10"/>
      <c r="P64" s="10"/>
    </row>
    <row r="65" spans="1:16" ht="20.25">
      <c r="A65" s="39"/>
      <c r="B65" s="305" t="s">
        <v>520</v>
      </c>
      <c r="C65" s="306"/>
      <c r="D65" s="307"/>
      <c r="E65" s="10"/>
      <c r="F65" s="10"/>
      <c r="G65" s="10"/>
      <c r="H65" s="10"/>
      <c r="I65" s="10"/>
      <c r="J65" s="10"/>
      <c r="K65" s="169"/>
      <c r="L65" s="169">
        <v>5</v>
      </c>
      <c r="M65" s="10"/>
      <c r="N65" s="10">
        <f t="shared" si="3"/>
        <v>5</v>
      </c>
      <c r="O65" s="10"/>
      <c r="P65" s="10"/>
    </row>
    <row r="66" spans="1:16" ht="20.25">
      <c r="A66" s="39"/>
      <c r="B66" s="305" t="s">
        <v>521</v>
      </c>
      <c r="C66" s="306"/>
      <c r="D66" s="307"/>
      <c r="E66" s="10"/>
      <c r="F66" s="10"/>
      <c r="G66" s="10"/>
      <c r="H66" s="10"/>
      <c r="I66" s="10"/>
      <c r="J66" s="10">
        <v>7.6</v>
      </c>
      <c r="K66" s="169"/>
      <c r="L66" s="169"/>
      <c r="M66" s="10"/>
      <c r="N66" s="10">
        <f t="shared" si="3"/>
        <v>7.6</v>
      </c>
      <c r="O66" s="10"/>
      <c r="P66" s="10"/>
    </row>
    <row r="67" spans="1:16" ht="60" customHeight="1">
      <c r="A67" s="39"/>
      <c r="B67" s="305" t="s">
        <v>522</v>
      </c>
      <c r="C67" s="306"/>
      <c r="D67" s="307"/>
      <c r="E67" s="10"/>
      <c r="F67" s="10"/>
      <c r="G67" s="10"/>
      <c r="H67" s="10"/>
      <c r="I67" s="10"/>
      <c r="J67" s="10">
        <v>15.3</v>
      </c>
      <c r="K67" s="169"/>
      <c r="L67" s="169"/>
      <c r="M67" s="10"/>
      <c r="N67" s="10">
        <f t="shared" si="3"/>
        <v>15.3</v>
      </c>
      <c r="O67" s="10"/>
      <c r="P67" s="10"/>
    </row>
    <row r="68" spans="1:16" ht="36" customHeight="1">
      <c r="A68" s="314" t="s">
        <v>9</v>
      </c>
      <c r="B68" s="315"/>
      <c r="C68" s="315"/>
      <c r="D68" s="315"/>
      <c r="E68" s="1">
        <f t="shared" ref="E68:L68" si="4">E7+E24</f>
        <v>0</v>
      </c>
      <c r="F68" s="1">
        <f t="shared" si="4"/>
        <v>0</v>
      </c>
      <c r="G68" s="1">
        <f t="shared" si="4"/>
        <v>0</v>
      </c>
      <c r="H68" s="1">
        <f t="shared" si="4"/>
        <v>20</v>
      </c>
      <c r="I68" s="1">
        <f t="shared" si="4"/>
        <v>0</v>
      </c>
      <c r="J68" s="1">
        <f t="shared" si="4"/>
        <v>310.2</v>
      </c>
      <c r="K68" s="1">
        <f t="shared" si="4"/>
        <v>0</v>
      </c>
      <c r="L68" s="1">
        <f t="shared" si="4"/>
        <v>645.4</v>
      </c>
      <c r="M68" s="1">
        <f>E68+G68+I68+K68</f>
        <v>0</v>
      </c>
      <c r="N68" s="1">
        <f>F68+H68+J68+L68</f>
        <v>975.59999999999991</v>
      </c>
      <c r="O68" s="1">
        <f>N68-M68</f>
        <v>975.59999999999991</v>
      </c>
      <c r="P68" s="1"/>
    </row>
    <row r="69" spans="1:16" ht="36" customHeight="1">
      <c r="A69" s="170"/>
      <c r="B69" s="170"/>
      <c r="C69" s="171"/>
      <c r="D69" s="171"/>
      <c r="E69" s="171"/>
      <c r="F69" s="171"/>
      <c r="G69" s="171"/>
      <c r="H69" s="171"/>
      <c r="I69" s="171"/>
      <c r="J69" s="170"/>
      <c r="K69" s="171"/>
      <c r="L69" s="170"/>
    </row>
    <row r="70" spans="1:16" ht="4.5" customHeight="1">
      <c r="A70" s="172"/>
      <c r="B70" s="172"/>
      <c r="C70" s="173"/>
      <c r="D70" s="173"/>
      <c r="E70" s="173"/>
      <c r="F70" s="173"/>
      <c r="G70" s="173"/>
      <c r="H70" s="173"/>
      <c r="I70" s="173"/>
      <c r="J70" s="173"/>
    </row>
    <row r="71" spans="1:16" ht="30.75" customHeight="1">
      <c r="A71" s="172"/>
      <c r="B71" s="172"/>
      <c r="C71" s="173"/>
      <c r="D71" s="173"/>
      <c r="E71" s="173"/>
      <c r="F71" s="173"/>
      <c r="G71" s="173"/>
      <c r="H71" s="173"/>
      <c r="I71" s="173"/>
      <c r="J71" s="173"/>
    </row>
    <row r="72" spans="1:16" s="174" customFormat="1" ht="36" hidden="1" customHeight="1">
      <c r="C72" s="166"/>
      <c r="D72" s="166"/>
      <c r="E72" s="166"/>
      <c r="F72" s="166"/>
    </row>
    <row r="73" spans="1:16" s="175" customFormat="1" ht="36" customHeight="1">
      <c r="B73" s="311" t="s">
        <v>605</v>
      </c>
      <c r="C73" s="312"/>
      <c r="D73" s="312"/>
      <c r="E73" s="176"/>
      <c r="F73" s="176"/>
      <c r="G73" s="313"/>
      <c r="H73" s="313"/>
      <c r="I73" s="313"/>
      <c r="J73" s="177"/>
      <c r="K73" s="301" t="s">
        <v>536</v>
      </c>
      <c r="L73" s="301"/>
    </row>
    <row r="74" spans="1:16" s="174" customFormat="1" ht="36" customHeight="1">
      <c r="B74" s="310" t="s">
        <v>11</v>
      </c>
      <c r="C74" s="310"/>
      <c r="D74" s="310"/>
      <c r="E74" s="178"/>
      <c r="F74" s="178"/>
      <c r="G74" s="179"/>
      <c r="H74" s="180" t="s">
        <v>12</v>
      </c>
      <c r="I74" s="179"/>
      <c r="J74" s="178"/>
      <c r="K74" s="310" t="s">
        <v>18</v>
      </c>
      <c r="L74" s="310"/>
    </row>
    <row r="75" spans="1:16" ht="36" customHeight="1">
      <c r="B75" s="181"/>
      <c r="C75" s="181"/>
      <c r="D75" s="181"/>
      <c r="E75" s="182"/>
      <c r="F75" s="182"/>
      <c r="G75" s="182"/>
      <c r="H75" s="182"/>
      <c r="I75" s="182"/>
      <c r="J75" s="182"/>
    </row>
    <row r="76" spans="1:16" ht="36" customHeight="1">
      <c r="B76" s="181"/>
      <c r="C76" s="181"/>
      <c r="D76" s="181"/>
      <c r="E76" s="181"/>
      <c r="F76" s="181"/>
      <c r="G76" s="181"/>
      <c r="H76" s="181"/>
      <c r="I76" s="181"/>
      <c r="J76" s="181"/>
    </row>
    <row r="77" spans="1:16" ht="36" customHeight="1">
      <c r="B77" s="181"/>
      <c r="C77" s="181"/>
      <c r="D77" s="181"/>
      <c r="E77" s="181"/>
      <c r="F77" s="181"/>
      <c r="G77" s="181"/>
      <c r="H77" s="181"/>
      <c r="I77" s="181"/>
      <c r="J77" s="181"/>
    </row>
    <row r="78" spans="1:16" s="309" customFormat="1" ht="36" customHeight="1">
      <c r="A78" s="308" t="s">
        <v>52</v>
      </c>
    </row>
    <row r="81" spans="2:2" ht="36" customHeight="1">
      <c r="B81" s="183"/>
    </row>
    <row r="82" spans="2:2" ht="36" customHeight="1">
      <c r="B82" s="183"/>
    </row>
    <row r="83" spans="2:2" ht="36" customHeight="1">
      <c r="B83" s="183"/>
    </row>
    <row r="84" spans="2:2" ht="36" customHeight="1">
      <c r="B84" s="183"/>
    </row>
    <row r="85" spans="2:2" ht="36" customHeight="1">
      <c r="B85" s="183"/>
    </row>
    <row r="86" spans="2:2" ht="36" customHeight="1">
      <c r="B86" s="183"/>
    </row>
    <row r="87" spans="2:2" ht="36" customHeight="1">
      <c r="B87" s="183"/>
    </row>
  </sheetData>
  <mergeCells count="77">
    <mergeCell ref="B21:D21"/>
    <mergeCell ref="B22:D22"/>
    <mergeCell ref="B23:D23"/>
    <mergeCell ref="M4:P4"/>
    <mergeCell ref="G4:H4"/>
    <mergeCell ref="B6:D6"/>
    <mergeCell ref="K4:L4"/>
    <mergeCell ref="I4:J4"/>
    <mergeCell ref="B4:D5"/>
    <mergeCell ref="E4:F4"/>
    <mergeCell ref="B20:D20"/>
    <mergeCell ref="E1:L2"/>
    <mergeCell ref="A4:A5"/>
    <mergeCell ref="B7:D7"/>
    <mergeCell ref="B24:D24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35:D35"/>
    <mergeCell ref="B36:D36"/>
    <mergeCell ref="A78:XFD78"/>
    <mergeCell ref="K74:L74"/>
    <mergeCell ref="B73:D73"/>
    <mergeCell ref="K73:L73"/>
    <mergeCell ref="G73:I73"/>
    <mergeCell ref="B74:D74"/>
    <mergeCell ref="A68:D68"/>
    <mergeCell ref="B37:D37"/>
    <mergeCell ref="B38:D38"/>
    <mergeCell ref="B39:D39"/>
    <mergeCell ref="B40:D40"/>
    <mergeCell ref="B41:D41"/>
    <mergeCell ref="B42:D42"/>
    <mergeCell ref="B43:D43"/>
    <mergeCell ref="B30:D3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7:D67"/>
    <mergeCell ref="B62:D62"/>
    <mergeCell ref="B63:D63"/>
    <mergeCell ref="B64:D64"/>
    <mergeCell ref="B65:D65"/>
    <mergeCell ref="B66:D66"/>
  </mergeCells>
  <phoneticPr fontId="3" type="noConversion"/>
  <pageMargins left="0.39370078740157483" right="0.39370078740157483" top="0.78740157480314965" bottom="0.39370078740157483" header="0.19685039370078741" footer="0.31496062992125984"/>
  <pageSetup paperSize="9" scale="50" orientation="landscape" verticalDpi="1200" r:id="rId1"/>
  <headerFooter alignWithMargins="0"/>
  <rowBreaks count="1" manualBreakCount="1">
    <brk id="3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за джерелами'!Заголовки_для_печати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CMtaD</cp:lastModifiedBy>
  <cp:lastPrinted>2021-12-15T07:16:31Z</cp:lastPrinted>
  <dcterms:created xsi:type="dcterms:W3CDTF">2003-03-13T16:00:22Z</dcterms:created>
  <dcterms:modified xsi:type="dcterms:W3CDTF">2021-12-15T07:22:06Z</dcterms:modified>
</cp:coreProperties>
</file>